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0_Finanzierungsantrag" sheetId="1" state="visible" r:id="rId3"/>
    <sheet name="01_Annahmen" sheetId="2" state="visible" r:id="rId4"/>
    <sheet name="02_Schritt 1 Planungskredit" sheetId="3" state="visible" r:id="rId5"/>
    <sheet name="03_Investitionen" sheetId="4" state="visible" r:id="rId6"/>
    <sheet name="04_DCF und Finanzierung" sheetId="5" state="visible" r:id="rId7"/>
    <sheet name="05_Residualwert und Marge" sheetId="6" state="visible" r:id="rId8"/>
    <sheet name="06_Robustheit" sheetId="7" state="visible" r:id="rId9"/>
    <sheet name="07_Grundlagen" sheetId="8" state="visible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<sst xmlns="http://schemas.openxmlformats.org/spreadsheetml/2006/main" count="482" uniqueCount="297">
  <si>
    <t xml:space="preserve">Wasserschlosspark Untersiggenthal — Finanzierungsantrag</t>
  </si>
  <si>
    <t xml:space="preserve">Urbanstreet AG · Patrick Hüppi, Timothy Traub, Marlon Lehner · Stand 30.09.2026 · Beträge in CHF</t>
  </si>
  <si>
    <t xml:space="preserve">SCHRITT 1 — PLANUNGSKREDIT</t>
  </si>
  <si>
    <t xml:space="preserve">Planungskredit</t>
  </si>
  <si>
    <t xml:space="preserve">Verwendung</t>
  </si>
  <si>
    <t xml:space="preserve">Planung Phasen A–D und Nebenkosten, Q4 2026 – Q3 2028</t>
  </si>
  <si>
    <t xml:space="preserve">Sicherheit</t>
  </si>
  <si>
    <t xml:space="preserve">Grundpfand auf dem Areal</t>
  </si>
  <si>
    <t xml:space="preserve">Landwert per heute</t>
  </si>
  <si>
    <t xml:space="preserve">Belehnung Landwert</t>
  </si>
  <si>
    <t xml:space="preserve">Zinsen Planungskredit 2026–2028</t>
  </si>
  <si>
    <t xml:space="preserve">Rückführung</t>
  </si>
  <si>
    <t xml:space="preserve">Ablösung durch den Baukredit bei Baustart 2028</t>
  </si>
  <si>
    <t xml:space="preserve">SCHRITT 2 — GESAMTFINANZIERUNG</t>
  </si>
  <si>
    <t xml:space="preserve">Anlagekosten total (inkl. Land)</t>
  </si>
  <si>
    <t xml:space="preserve">Eigenkapital total</t>
  </si>
  <si>
    <t xml:space="preserve">Eigenkapitalanteil</t>
  </si>
  <si>
    <t xml:space="preserve">Landwert per heute (Sacheinlage)</t>
  </si>
  <si>
    <t xml:space="preserve">Bar-Eigenkapital</t>
  </si>
  <si>
    <t xml:space="preserve">Fremdkapitalbedarf (70 % der Anlagekosten)</t>
  </si>
  <si>
    <t xml:space="preserve">Schritt 2: Baukredit, Ziehungen kumuliert (inkl. Ablösung Schritt 1)</t>
  </si>
  <si>
    <t xml:space="preserve">Verkaufserlöse netto (Villette I + II)</t>
  </si>
  <si>
    <t xml:space="preserve">Rückführung aus Verkaufserlösen</t>
  </si>
  <si>
    <t xml:space="preserve">Schritt 2: Baukredit, maximale Beanspruchung</t>
  </si>
  <si>
    <t xml:space="preserve">Maximale Beanspruchung in % Anlagekosten</t>
  </si>
  <si>
    <t xml:space="preserve">Saldo Hypothek 2033 (nach Verkauf)</t>
  </si>
  <si>
    <t xml:space="preserve">Ertragswert Bestand 2033 (Phasen B, D)</t>
  </si>
  <si>
    <t xml:space="preserve">DCF-Marktwert Bestand (Phasen B, D)</t>
  </si>
  <si>
    <t xml:space="preserve">Belehnungsreserve Hypothek bis 60 % Ertragswert</t>
  </si>
  <si>
    <t xml:space="preserve">Nettoertrag stabil 2033 (Bestand)</t>
  </si>
  <si>
    <t xml:space="preserve">DSCR min. 2033–2040</t>
  </si>
  <si>
    <t xml:space="preserve">Projekt-IRR</t>
  </si>
  <si>
    <t xml:space="preserve">Eigenkapital-IRR</t>
  </si>
  <si>
    <t xml:space="preserve">RISIKO- UND GEWINNMARGE</t>
  </si>
  <si>
    <t xml:space="preserve">Wert nach Fertigstellung</t>
  </si>
  <si>
    <t xml:space="preserve">Risiko- und Gewinnmarge</t>
  </si>
  <si>
    <t xml:space="preserve">in % der Anlagekosten inkl. Finanzierung</t>
  </si>
  <si>
    <t xml:space="preserve">Berechnung ohne Steuern und ohne heutige Bestandeserträge des Areals. Details in den Blättern 01–07.</t>
  </si>
  <si>
    <t xml:space="preserve">Annahmen</t>
  </si>
  <si>
    <t xml:space="preserve">Blau = Eingabe · gelb = Schlüsselannahme · Schwarz = Formel · Beträge in CHF</t>
  </si>
  <si>
    <t xml:space="preserve">BEWERTUNG</t>
  </si>
  <si>
    <t xml:space="preserve">Parameter</t>
  </si>
  <si>
    <t xml:space="preserve">Wert</t>
  </si>
  <si>
    <t xml:space="preserve">Einheit</t>
  </si>
  <si>
    <t xml:space="preserve">Herleitung / Quelle</t>
  </si>
  <si>
    <t xml:space="preserve">Bewertungsstichtag</t>
  </si>
  <si>
    <t xml:space="preserve">30.09.2026</t>
  </si>
  <si>
    <t xml:space="preserve">Stand Renditebewertung Wasserschlosspark</t>
  </si>
  <si>
    <t xml:space="preserve">Erstes Modelljahr (t0)</t>
  </si>
  <si>
    <t xml:space="preserve">Jahr</t>
  </si>
  <si>
    <t xml:space="preserve">Cashflows jährlich, Jahresende</t>
  </si>
  <si>
    <t xml:space="preserve">Nettokapitalisierungssatz Bestand (NOI-gewichtet)</t>
  </si>
  <si>
    <t xml:space="preserve">%</t>
  </si>
  <si>
    <t xml:space="preserve">Phasen im Bestand (B, D)</t>
  </si>
  <si>
    <t xml:space="preserve">Mietwachstum p.a. (gewichtet)</t>
  </si>
  <si>
    <t xml:space="preserve">aus Renditebewertung je Nutzung</t>
  </si>
  <si>
    <t xml:space="preserve">Zuschlag Entwicklungsphase</t>
  </si>
  <si>
    <t xml:space="preserve">Diskontsatz Projekt-Cashflow</t>
  </si>
  <si>
    <t xml:space="preserve">Diskontierungssatz Projekt (nominal)</t>
  </si>
  <si>
    <t xml:space="preserve">Kap.satz + Wachstum + Zuschlag</t>
  </si>
  <si>
    <t xml:space="preserve">Zuschlag Exit-Kapitalisierungssatz</t>
  </si>
  <si>
    <t xml:space="preserve">Terminal Value 2040</t>
  </si>
  <si>
    <t xml:space="preserve">Exit-Jahr (Terminal Value)</t>
  </si>
  <si>
    <t xml:space="preserve">Ende Betrachtungsperiode</t>
  </si>
  <si>
    <t xml:space="preserve">FINANZIERUNG</t>
  </si>
  <si>
    <t xml:space="preserve">Fremdkapitalanteil in % der Anlagekosten (LTC)</t>
  </si>
  <si>
    <t xml:space="preserve">Finanzierungsstruktur</t>
  </si>
  <si>
    <t xml:space="preserve">Eigenkapitalanteil in % der Anlagekosten</t>
  </si>
  <si>
    <t xml:space="preserve">Gegenstück zum Fremdkapital</t>
  </si>
  <si>
    <t xml:space="preserve">Zinssatz all-in</t>
  </si>
  <si>
    <t xml:space="preserve">SARON + Marge</t>
  </si>
  <si>
    <t xml:space="preserve">Belehnung Hypothek in % Ertragswert (LTV)</t>
  </si>
  <si>
    <t xml:space="preserve">Konsolidierung nach Bezug</t>
  </si>
  <si>
    <t xml:space="preserve">Amortisation p.a. in % der Schuld</t>
  </si>
  <si>
    <t xml:space="preserve">ab Beginn Amortisation</t>
  </si>
  <si>
    <t xml:space="preserve">Beginn Amortisation</t>
  </si>
  <si>
    <t xml:space="preserve">erstes volles Jahr nach Bezug aller Phasen</t>
  </si>
  <si>
    <t xml:space="preserve">Mindest-DSCR (Covenant)</t>
  </si>
  <si>
    <t xml:space="preserve">x</t>
  </si>
  <si>
    <t xml:space="preserve">Schuldendienstdeckung</t>
  </si>
  <si>
    <t xml:space="preserve">Landwert per heute als Sacheinlage</t>
  </si>
  <si>
    <t xml:space="preserve">CHF</t>
  </si>
  <si>
    <t xml:space="preserve">Residualwert Ertragswert-Basis (tieferer Wert), Gesamtmodell 28.09.2026</t>
  </si>
  <si>
    <t xml:space="preserve">Nebenkosten Planung arealweit</t>
  </si>
  <si>
    <t xml:space="preserve">Planungsbudget 10 Mio, davon NK</t>
  </si>
  <si>
    <t xml:space="preserve">Schritt 1: Limite Planungskredit</t>
  </si>
  <si>
    <t xml:space="preserve">Planungsbudget Q4 2026 – Q3 2028</t>
  </si>
  <si>
    <t xml:space="preserve">PHASEN — KOSTEN, ERTRÄGE, STRATEGIE (Quelle: Gesamtmodell Wasserschlosspark, 28.09.2026; Villette I gemäss KV und Wohnungsspiegel, Stand 30.09.2026)</t>
  </si>
  <si>
    <t xml:space="preserve">Baustart Villette I Q1 2028</t>
  </si>
  <si>
    <t xml:space="preserve">Phase</t>
  </si>
  <si>
    <t xml:space="preserve">Projektteile</t>
  </si>
  <si>
    <t xml:space="preserve">HNF m²</t>
  </si>
  <si>
    <t xml:space="preserve">EK notwendig CHF</t>
  </si>
  <si>
    <t xml:space="preserve">davon Planungs-
budget CHF</t>
  </si>
  <si>
    <t xml:space="preserve">MP + NK + VK
+ Zins CHF</t>
  </si>
  <si>
    <t xml:space="preserve">Sollertrag
stabil CHF</t>
  </si>
  <si>
    <t xml:space="preserve">Ausfall
stabil</t>
  </si>
  <si>
    <t xml:space="preserve">Bewirt-
schaftung</t>
  </si>
  <si>
    <t xml:space="preserve">Ausfall Erst-
vermietung J1</t>
  </si>
  <si>
    <t xml:space="preserve">Miet-
wachstum</t>
  </si>
  <si>
    <t xml:space="preserve">Netto-Kap.-
satz</t>
  </si>
  <si>
    <t xml:space="preserve">Ertragswert
stabil CHF</t>
  </si>
  <si>
    <t xml:space="preserve">Erstes
Ertragsjahr</t>
  </si>
  <si>
    <t xml:space="preserve">Verkauf
(1/0)</t>
  </si>
  <si>
    <t xml:space="preserve">Verkaufs-
erlös CHF</t>
  </si>
  <si>
    <t xml:space="preserve">Vertriebs-
kosten</t>
  </si>
  <si>
    <t xml:space="preserve">Verkaufs-
jahr</t>
  </si>
  <si>
    <t xml:space="preserve">NOI stabil
CHF</t>
  </si>
  <si>
    <t xml:space="preserve">DCF-Markt-
wert CHF</t>
  </si>
  <si>
    <t xml:space="preserve">Strategie</t>
  </si>
  <si>
    <t xml:space="preserve">Phase A</t>
  </si>
  <si>
    <t xml:space="preserve">Villette I inkl. TG Villette</t>
  </si>
  <si>
    <t xml:space="preserve">Verkauf Stockwerkeigentum</t>
  </si>
  <si>
    <t xml:space="preserve">Phase B</t>
  </si>
  <si>
    <t xml:space="preserve">Concierge ACE + Spitex Umbau inkl. öffentliche TG</t>
  </si>
  <si>
    <t xml:space="preserve">Bestand (Rendite)</t>
  </si>
  <si>
    <t xml:space="preserve">Phase D</t>
  </si>
  <si>
    <t xml:space="preserve">Campus Small + Campus Medium</t>
  </si>
  <si>
    <t xml:space="preserve">Phase C</t>
  </si>
  <si>
    <t xml:space="preserve">Villette II</t>
  </si>
  <si>
    <t xml:space="preserve">Total</t>
  </si>
  <si>
    <t xml:space="preserve">EK inkl. Planungsbudget der Phase. MP + NK + VK + Zins Phase C: Masterplan/Gestaltungsplan, Nebenkosten, Vertrieb und Zins gemäss Budgetplanung.</t>
  </si>
  <si>
    <t xml:space="preserve">Verkaufserlös Villette I gemäss Wohnungsspiegel 14.08.2026 (24 Eigentumswohnungen, 9'700 CHF/m² HNF inkl. Parkplätze: 35'059'680 CHF), Villette II gemäss Budgetplanung (77 Mio). Erstellungskosten Villette I gemäss Kostenvoranschlag Rev. 2 vom 17.09.2026 (BKP 1–8 inkl. MWST, 22.7 Mio inkl. Planungsbudget); übrige Phasen nach Volumenansatz (Hochrechnung). DCF-Marktwert je Phase inkl. Erstvermietung aus der Renditebewertung.</t>
  </si>
  <si>
    <t xml:space="preserve">BAUPROFIL — Anteil Baukosten (EK ohne Planung) je Jahr, gemäss Bauablauf 17.09.2026</t>
  </si>
  <si>
    <t xml:space="preserve">Baustart → Bezug</t>
  </si>
  <si>
    <t xml:space="preserve">2026</t>
  </si>
  <si>
    <t xml:space="preserve">2027</t>
  </si>
  <si>
    <t xml:space="preserve">2028</t>
  </si>
  <si>
    <t xml:space="preserve">2029</t>
  </si>
  <si>
    <t xml:space="preserve">2030</t>
  </si>
  <si>
    <t xml:space="preserve">2031</t>
  </si>
  <si>
    <t xml:space="preserve">2032</t>
  </si>
  <si>
    <t xml:space="preserve">Summe</t>
  </si>
  <si>
    <t xml:space="preserve">Q1 2028 → Q1 2029</t>
  </si>
  <si>
    <t xml:space="preserve">Q2 2028 → Q4 2029</t>
  </si>
  <si>
    <t xml:space="preserve">Q2 2028 → Q1 2030</t>
  </si>
  <si>
    <t xml:space="preserve">Q1 2030 → Q4 2031</t>
  </si>
  <si>
    <t xml:space="preserve">PROFIL MP + NK + VK + ZINS PHASE C</t>
  </si>
  <si>
    <t xml:space="preserve">Position</t>
  </si>
  <si>
    <t xml:space="preserve">Schritt 1 — Planungskredit CHF 10 Mio</t>
  </si>
  <si>
    <t xml:space="preserve">Mittelverwendung Planung je Quartal Q4 2026 – Q3 2028 · Sicherheit: Grundpfand auf dem Areal · Ablösung durch den Baukredit (Schritt 2)</t>
  </si>
  <si>
    <t xml:space="preserve">Mittelverwendung CHF</t>
  </si>
  <si>
    <t xml:space="preserve">Budget</t>
  </si>
  <si>
    <t xml:space="preserve">Q4 2026</t>
  </si>
  <si>
    <t xml:space="preserve">Q1 2027</t>
  </si>
  <si>
    <t xml:space="preserve">Q2 2027</t>
  </si>
  <si>
    <t xml:space="preserve">Q3 2027</t>
  </si>
  <si>
    <t xml:space="preserve">Q4 2027</t>
  </si>
  <si>
    <t xml:space="preserve">Q1 2028</t>
  </si>
  <si>
    <t xml:space="preserve">Q2 2028</t>
  </si>
  <si>
    <t xml:space="preserve">Q3 2028</t>
  </si>
  <si>
    <t xml:space="preserve">Phase A · Villette I inkl. TG Villette</t>
  </si>
  <si>
    <t xml:space="preserve">Phase B · Concierge ACE + Spitex Umbau inkl. öffentliche TG</t>
  </si>
  <si>
    <t xml:space="preserve">Phase D · Campus Small + Campus Medium</t>
  </si>
  <si>
    <t xml:space="preserve">Phase C · Villette II</t>
  </si>
  <si>
    <t xml:space="preserve">Nebenkosten arealweit</t>
  </si>
  <si>
    <t xml:space="preserve">Total je Quartal</t>
  </si>
  <si>
    <t xml:space="preserve">Kumulierte Beanspruchung</t>
  </si>
  <si>
    <t xml:space="preserve">Ausschöpfung Limite</t>
  </si>
  <si>
    <t xml:space="preserve">Kontrolle Summe = Budget (0 = ok)</t>
  </si>
  <si>
    <t xml:space="preserve">JAHRESWERTE (Übertrag in die Finanzierungsrechnung)</t>
  </si>
  <si>
    <t xml:space="preserve">Kreditbeanspruchung Planung</t>
  </si>
  <si>
    <t xml:space="preserve">KENNZAHLEN SCHRITT 1</t>
  </si>
  <si>
    <t xml:space="preserve">Kennzahl</t>
  </si>
  <si>
    <t xml:space="preserve">Limite Planungskredit</t>
  </si>
  <si>
    <t xml:space="preserve">Sicherheit: Landwert per heute (Grundpfand)</t>
  </si>
  <si>
    <t xml:space="preserve">Laufzeit</t>
  </si>
  <si>
    <t xml:space="preserve">Q4 2026 – Ablösung bei Baustart 2028</t>
  </si>
  <si>
    <t xml:space="preserve">Ablösung durch Baukredit (Schritt 2)</t>
  </si>
  <si>
    <t xml:space="preserve">Investitionen und Anlagekosten je Jahr</t>
  </si>
  <si>
    <t xml:space="preserve">Planung gemäss Mittelverwendung (Schritt 1), Baukosten gemäss Bauprofil, Land als Sacheinlage in t0</t>
  </si>
  <si>
    <t xml:space="preserve">2033</t>
  </si>
  <si>
    <t xml:space="preserve">2034</t>
  </si>
  <si>
    <t xml:space="preserve">2035</t>
  </si>
  <si>
    <t xml:space="preserve">2036</t>
  </si>
  <si>
    <t xml:space="preserve">2037</t>
  </si>
  <si>
    <t xml:space="preserve">2038</t>
  </si>
  <si>
    <t xml:space="preserve">2039</t>
  </si>
  <si>
    <t xml:space="preserve">2040</t>
  </si>
  <si>
    <t xml:space="preserve">Planung</t>
  </si>
  <si>
    <t xml:space="preserve">Baukosten (EK ohne Planung)</t>
  </si>
  <si>
    <t xml:space="preserve">Masterplan + NK + VK + Zins</t>
  </si>
  <si>
    <t xml:space="preserve">Areal</t>
  </si>
  <si>
    <t xml:space="preserve">Cash-Investitionen total</t>
  </si>
  <si>
    <t xml:space="preserve">davon Planung inkl. NK (Schritt 1)</t>
  </si>
  <si>
    <t xml:space="preserve">Land (Sacheinlage)</t>
  </si>
  <si>
    <t xml:space="preserve">Anlagekosten total</t>
  </si>
  <si>
    <t xml:space="preserve">DCF und Finanzierung — Verkauf Villette I + II, Phasen B und D im Bestand</t>
  </si>
  <si>
    <t xml:space="preserve">Schritt 1 Planungskredit 2026–2028 · Schritt 2 Baukredit ab Baustart 2028 inkl. Ablösung Planungskredit · Verkaufserlöse führen den Baukredit zurück</t>
  </si>
  <si>
    <t xml:space="preserve">Total / Wert</t>
  </si>
  <si>
    <t xml:space="preserve">A  PROJEKT-CASHFLOW</t>
  </si>
  <si>
    <t xml:space="preserve">Nettoertrag (NOI)</t>
  </si>
  <si>
    <t xml:space="preserve">Nettoertrag total</t>
  </si>
  <si>
    <t xml:space="preserve">Verkaufserlös netto</t>
  </si>
  <si>
    <t xml:space="preserve">Verkaufserlöse total</t>
  </si>
  <si>
    <t xml:space="preserve">Cash-Investitionen</t>
  </si>
  <si>
    <t xml:space="preserve">Terminal Value total</t>
  </si>
  <si>
    <t xml:space="preserve">Projekt-Cashflow</t>
  </si>
  <si>
    <t xml:space="preserve">Diskontfaktor</t>
  </si>
  <si>
    <t xml:space="preserve">Barwert</t>
  </si>
  <si>
    <t xml:space="preserve">B  FINANZIERUNG — Schritt 1 Planungskredit, Schritt 2 Baukredit</t>
  </si>
  <si>
    <t xml:space="preserve">Mittelbedarf (Cash-Investitionen)</t>
  </si>
  <si>
    <t xml:space="preserve">davon Planung inkl. NK</t>
  </si>
  <si>
    <t xml:space="preserve">Schritt 1: Ziehung Planungskredit</t>
  </si>
  <si>
    <t xml:space="preserve">Zinsen Planungskredit</t>
  </si>
  <si>
    <t xml:space="preserve">Ablösung durch Baukredit</t>
  </si>
  <si>
    <t xml:space="preserve">Saldo Planungskredit</t>
  </si>
  <si>
    <t xml:space="preserve">Übriger Mittelbedarf inkl. Zinsen Planungskredit</t>
  </si>
  <si>
    <t xml:space="preserve">Bar-Eigenkapital (EK-Anteil − Land)</t>
  </si>
  <si>
    <t xml:space="preserve">Einschuss Bar-Eigenkapital</t>
  </si>
  <si>
    <t xml:space="preserve">Schritt 2: Ziehung Baukredit (inkl. Ablösung)</t>
  </si>
  <si>
    <t xml:space="preserve">Zinsen Baukredit / Hypothek</t>
  </si>
  <si>
    <t xml:space="preserve">Amortisation</t>
  </si>
  <si>
    <t xml:space="preserve">Bauzinsen dem Kredit belastet</t>
  </si>
  <si>
    <t xml:space="preserve">Saldo Baukredit / Hypothek</t>
  </si>
  <si>
    <t xml:space="preserve">max.</t>
  </si>
  <si>
    <t xml:space="preserve">Fremdkapital total</t>
  </si>
  <si>
    <t xml:space="preserve">Ertragswert Bestand (bezogene Phasen B, D)</t>
  </si>
  <si>
    <t xml:space="preserve">Belehnung (Fremdkapital ÷ Ertragswert Bestand)</t>
  </si>
  <si>
    <t xml:space="preserve">Fremdkapital in % Anlagekosten</t>
  </si>
  <si>
    <t xml:space="preserve">DSCR (NOI ÷ Zins + Amortisation)</t>
  </si>
  <si>
    <t xml:space="preserve">C  EIGENKAPITAL-CASHFLOW</t>
  </si>
  <si>
    <t xml:space="preserve">Rückfluss aus Betrieb und Verkauf</t>
  </si>
  <si>
    <t xml:space="preserve">Eigenkapital-Cashflow</t>
  </si>
  <si>
    <t xml:space="preserve">D  KENNZAHLEN</t>
  </si>
  <si>
    <t xml:space="preserve">Schritt 1: Planungskredit</t>
  </si>
  <si>
    <t xml:space="preserve">Belehnung 2033</t>
  </si>
  <si>
    <t xml:space="preserve">Zinsen Bauphase 2026–2031 (Planungs- und Baukredit)</t>
  </si>
  <si>
    <t xml:space="preserve">Eigenkapital-Multiple</t>
  </si>
  <si>
    <t xml:space="preserve">Residualwert Land, Risiko- und Gewinnmarge</t>
  </si>
  <si>
    <t xml:space="preserve">Gesamtwert nach Fertigstellung abzüglich Erstellungs- und Finanzierungskosten · Land per heute als Sacheinlage zum tieferen Residualwert</t>
  </si>
  <si>
    <t xml:space="preserve">Grundlage</t>
  </si>
  <si>
    <t xml:space="preserve">Verkaufserlös netto (A, C) bzw. Ertragswert (B, D)</t>
  </si>
  <si>
    <t xml:space="preserve">Erstellungskosten inkl. Planung</t>
  </si>
  <si>
    <t xml:space="preserve">EK notwendig je Phase</t>
  </si>
  <si>
    <t xml:space="preserve">Masterplan, NK, Vertrieb, Zins</t>
  </si>
  <si>
    <t xml:space="preserve">Budgetplanung Phase C</t>
  </si>
  <si>
    <t xml:space="preserve">Planungsbudget</t>
  </si>
  <si>
    <t xml:space="preserve">Finanzierungskosten Bauphase 2026–2031</t>
  </si>
  <si>
    <t xml:space="preserve">Zinsen Planungs- und Baukredit, Blatt 04</t>
  </si>
  <si>
    <t xml:space="preserve">Residualwert vor Risiko und Gewinn</t>
  </si>
  <si>
    <t xml:space="preserve">Residualwert Ertragswert-Basis (tieferer Wert)</t>
  </si>
  <si>
    <t xml:space="preserve">in % des Werts nach Fertigstellung</t>
  </si>
  <si>
    <t xml:space="preserve">Lesart: Der Wert nach Fertigstellung deckt Erstellung, Planung, Finanzierung und den Landwert von 46.1 Mio; der verbleibende Betrag ist die Risiko- und Gewinnmarge der Entwicklung.</t>
  </si>
  <si>
    <t xml:space="preserve">VERGLEICH LANDWERT</t>
  </si>
  <si>
    <t xml:space="preserve">Residualwert Land</t>
  </si>
  <si>
    <t xml:space="preserve">Mio CHF</t>
  </si>
  <si>
    <t xml:space="preserve">Bemerkung</t>
  </si>
  <si>
    <t xml:space="preserve">Residualwert auf Basis Anlagevolumen (AK möglich)</t>
  </si>
  <si>
    <t xml:space="preserve">Gesamtmodell 28.09.2026</t>
  </si>
  <si>
    <t xml:space="preserve">Residualwert auf Ertragswert-Basis</t>
  </si>
  <si>
    <t xml:space="preserve">Eingebracht als Sacheinlage (tieferer Wert)</t>
  </si>
  <si>
    <t xml:space="preserve">Robustheit</t>
  </si>
  <si>
    <t xml:space="preserve">Verkaufserlöse, Baukosten und Zinsniveau · Wirkung auf maximale Kreditbeanspruchung, Hypothek 2033 und Schuldendienst</t>
  </si>
  <si>
    <t xml:space="preserve">Verkaufserlös Villette I + II</t>
  </si>
  <si>
    <t xml:space="preserve">Erlöse netto</t>
  </si>
  <si>
    <t xml:space="preserve">Hypothek 2033</t>
  </si>
  <si>
    <t xml:space="preserve">DSCR 2034</t>
  </si>
  <si>
    <t xml:space="preserve">Basis</t>
  </si>
  <si>
    <t xml:space="preserve">−10 %</t>
  </si>
  <si>
    <t xml:space="preserve">−20 %</t>
  </si>
  <si>
    <t xml:space="preserve">−30 %</t>
  </si>
  <si>
    <t xml:space="preserve">Mindererlös erhöht die Hypothek 2033 im gleichen Betrag (ohne Zinseffekt). Die Phasen B und D bleiben im Bestand.</t>
  </si>
  <si>
    <t xml:space="preserve">Baukosten</t>
  </si>
  <si>
    <t xml:space="preserve">Anlagekosten</t>
  </si>
  <si>
    <t xml:space="preserve">Fremdkapital 70 %</t>
  </si>
  <si>
    <t xml:space="preserve">max. Baukredit</t>
  </si>
  <si>
    <t xml:space="preserve">+5 %</t>
  </si>
  <si>
    <t xml:space="preserve">+10 %</t>
  </si>
  <si>
    <t xml:space="preserve">Mehrkosten werden im Verhältnis 70 / 30 aus Fremd- und Eigenkapital finanziert (vereinfachte Abschätzung).</t>
  </si>
  <si>
    <t xml:space="preserve">Zinsen Bauphase</t>
  </si>
  <si>
    <t xml:space="preserve">2.25 %</t>
  </si>
  <si>
    <t xml:space="preserve">3.00 %</t>
  </si>
  <si>
    <t xml:space="preserve">4.00 %</t>
  </si>
  <si>
    <t xml:space="preserve">Methodik und Grundlagen</t>
  </si>
  <si>
    <t xml:space="preserve">Zur Nachvollziehbarkeit der Berechnung</t>
  </si>
  <si>
    <t xml:space="preserve">Thema</t>
  </si>
  <si>
    <t xml:space="preserve">Festlegung</t>
  </si>
  <si>
    <t xml:space="preserve">Villette I (Phase A, 2029) und Villette II (Phase C, 2031) werden als Stockwerkeigentum verkauft. Concierge ACE mit Spitex (Phase B) und Campus (Phase D) bleiben als Renditeliegenschaften im Bestand.</t>
  </si>
  <si>
    <t xml:space="preserve">Finanzierung</t>
  </si>
  <si>
    <t xml:space="preserve">Schritt 1: Planungskredit CHF 10 Mio für das Planungsbudget Q4 2026 – Q3 2028, gesichert durch Grundpfand auf dem Areal. Schritt 2: Baukredit ab Baustart 2028 mit Ablösung des Planungskredits; Fremdkapital 70 %, Eigenkapital 30 % der Anlagekosten. Verkaufserlöse führen den Baukredit zurück; der Restsaldo wird 2033 als Hypothek auf den Bestandesliegenschaften konsolidiert.</t>
  </si>
  <si>
    <t xml:space="preserve">Land</t>
  </si>
  <si>
    <t xml:space="preserve">Einbringung per heute als Sacheinlage zum Residualwert auf Ertragswert-Basis von CHF 46.1 Mio (tieferer der beiden Residualwerte).</t>
  </si>
  <si>
    <t xml:space="preserve">Phasen und Termine</t>
  </si>
  <si>
    <t xml:space="preserve">A Villette I inkl. TG (Bezug Q1 2029) · B Concierge ACE + Spitex inkl. öffentliche TG (Q4 2029) · D Campus (Q1 2030) · C Villette II (Q4 2031). Grundlage Bauablauf 17.09.2026.</t>
  </si>
  <si>
    <t xml:space="preserve">Erträge</t>
  </si>
  <si>
    <t xml:space="preserve">Sollerträge aus der Renditebewertung (Marktdaten Fahrländer Partner, Untersiggenthal Q3 2026), inkl. Eventsaal und öffentlicher Tiefgarage. Erstvermietung mit erhöhtem Leerstand im ersten und zweiten Betriebsjahr.</t>
  </si>
  <si>
    <t xml:space="preserve">Erstellungskosten</t>
  </si>
  <si>
    <t xml:space="preserve">Villette I gemäss Kostenvoranschlag Rev. 2 vom 17.09.2026 (BKP 1–8 inkl. MWST, CHF 22.7 Mio inkl. Planungsbudget). Übrige Phasen nach Volumenansätzen: UG CHF 500/m³ für alle Baufelder, oberirdisch Kennwert je Baufeld (Concierge CHF 700/m³); Gebäudevolumen gemäss Kennwerte Wasserschlosspark, Stand 30.09.2026 (172'940 m³). Planungsbudget CHF 10 Mio inkl. Nebenkosten 1.5 Mio.</t>
  </si>
  <si>
    <t xml:space="preserve">DCF</t>
  </si>
  <si>
    <t xml:space="preserve">Jährlicher Projekt-Cashflow 2026–2040, Terminal Value der Bestandesliegenschaften Ende 2040 (NOI 2041 ÷ Nettokapitalisierungssatz + 0.15 %).</t>
  </si>
  <si>
    <t xml:space="preserve">Zinsen</t>
  </si>
  <si>
    <t xml:space="preserve">Zins all-in 2.25 % auf den durchschnittlichen Saldo; Bauzinsen werden dem Kredit belastet, soweit sie nicht aus Mieterträgen gedeckt sind. Ab 2033 Amortisation 1 % p.a.</t>
  </si>
  <si>
    <t xml:space="preserve">Quellen</t>
  </si>
  <si>
    <t xml:space="preserve">Wasserschlosspark Gesamtmodell (Urbanstreet, 28.09.2026) · Renditebewertung · Übersichtstabelle Kennwerte WSP (28.09.2026) · Budgetplanung und Verkaufswert · Bauablauf 17.09.2026 · Fahrländer Partner Q3 2026.</t>
  </si>
  <si>
    <t xml:space="preserve">Autoren</t>
  </si>
  <si>
    <t xml:space="preserve">Patrick Hüppi, Timothy Traub, Marlon Lehner — Urbanstreet AG, Gustav-Siber-Weg 4, 8700 Küsnacht.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</si>
</sst>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#,##0;\(#,##0\);\–"/>
    <numFmt numFmtId="166" formatCode="0.0%;\(0.0%\);\–"/>
    <numFmt numFmtId="167" formatCode="0.00\x;\(0.00&quot;x)&quot;;\–"/>
    <numFmt numFmtId="168" formatCode="0.00%;\(0.00%\);\–"/>
    <numFmt numFmtId="169" formatCode="0"/>
    <numFmt numFmtId="170" formatCode="0.0000"/>
    <numFmt numFmtId="171" formatCode="#,##0.0;\(#,##0.0\);\–"/>
  </numFmts>
  <fonts count="18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1F261A"/>
      <name val="Arial"/>
      <family val="0"/>
      <charset val="1"/>
    </font>
    <font>
      <i val="true"/>
      <sz val="9"/>
      <color rgb="FF68705F"/>
      <name val="Arial"/>
      <family val="0"/>
      <charset val="1"/>
    </font>
    <font>
      <b val="true"/>
      <sz val="10"/>
      <color rgb="FF5D603E"/>
      <name val="Arial"/>
      <family val="0"/>
      <charset val="1"/>
    </font>
    <font>
      <b val="true"/>
      <sz val="10"/>
      <color rgb="FF1F261A"/>
      <name val="Arial"/>
      <family val="0"/>
      <charset val="1"/>
    </font>
    <font>
      <b val="true"/>
      <sz val="10"/>
      <color rgb="FF008000"/>
      <name val="Arial"/>
      <family val="0"/>
      <charset val="1"/>
    </font>
    <font>
      <sz val="10"/>
      <color rgb="FF1F261A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10"/>
      <color rgb="FF1F261A"/>
      <name val="Arial"/>
      <family val="0"/>
      <charset val="1"/>
    </font>
    <font>
      <sz val="21"/>
      <color rgb="FFFFFF00"/>
      <name val="Calibri"/>
      <family val="0"/>
      <charset val="1"/>
    </font>
    <font>
      <sz val="8"/>
      <color rgb="FF68705F"/>
      <name val="Arial"/>
      <family val="0"/>
      <charset val="1"/>
    </font>
    <font>
      <sz val="9"/>
      <color rgb="FF68705F"/>
      <name val="Arial"/>
      <family val="0"/>
      <charset val="1"/>
    </font>
    <font>
      <b val="true"/>
      <sz val="10"/>
      <color rgb="FF68705F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2E3234"/>
        <bgColor rgb="FF1F261A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993300"/>
      </patternFill>
    </fill>
    <fill>
      <patternFill patternType="solid">
        <fgColor rgb="FFEDF3DA"/>
        <bgColor rgb="FFDDE3C9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DE3C9"/>
      </bottom>
      <diagonal/>
    </border>
    <border diagonalUp="false" diagonalDown="false">
      <left/>
      <right/>
      <top style="thin">
        <color rgb="FFC6CFAA"/>
      </top>
      <bottom style="thin">
        <color rgb="FFC6CFA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1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1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1" fillId="2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12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9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12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12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2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9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2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12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2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4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2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12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5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7" fillId="5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0" fontId="9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7" fillId="5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9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1" fontId="12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1" fontId="7" fillId="5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D603E"/>
      <rgbColor rgb="FF800080"/>
      <rgbColor rgb="FF008080"/>
      <rgbColor rgb="FFC6CFAA"/>
      <rgbColor rgb="FF808080"/>
      <rgbColor rgb="FF9999FF"/>
      <rgbColor rgb="FF993366"/>
      <rgbColor rgb="FFEDF3D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E3C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8705F"/>
      <rgbColor rgb="FF969696"/>
      <rgbColor rgb="FF003366"/>
      <rgbColor rgb="FF339966"/>
      <rgbColor rgb="FF003300"/>
      <rgbColor rgb="FF1F261A"/>
      <rgbColor rgb="FF993300"/>
      <rgbColor rgb="FF993366"/>
      <rgbColor rgb="FF333399"/>
      <rgbColor rgb="FF2E323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C100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33593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66"/>
    <col collapsed="false" customWidth="true" hidden="false" outlineLevel="0" max="3" min="3" style="1" width="52"/>
    <col collapsed="false" customWidth="true" hidden="false" outlineLevel="0" max="26" min="4" style="1" width="8.71"/>
  </cols>
  <sheetData>
    <row r="1" customFormat="false" ht="15" hidden="false" customHeight="true" outlineLevel="0" collapsed="false"/>
    <row r="2" customFormat="false" ht="18" hidden="false" customHeight="true" outlineLevel="0" collapsed="false">
      <c r="B2" s="2" t="s">
        <v>0</v>
      </c>
    </row>
    <row r="3" customFormat="false" ht="15" hidden="false" customHeight="true" outlineLevel="0" collapsed="false">
      <c r="B3" s="3" t="s">
        <v>1</v>
      </c>
    </row>
    <row r="4" customFormat="false" ht="15" hidden="false" customHeight="true" outlineLevel="0" collapsed="false"/>
    <row r="5" customFormat="false" ht="15" hidden="false" customHeight="true" outlineLevel="0" collapsed="false">
      <c r="B5" s="4" t="s">
        <v>2</v>
      </c>
    </row>
    <row r="6" customFormat="false" ht="15" hidden="false" customHeight="true" outlineLevel="0" collapsed="false">
      <c r="B6" s="5" t="s">
        <v>3</v>
      </c>
      <c r="C6" s="6" t="n">
        <f aca="false">'02_Schritt 1 Planungskredit'!C28</f>
        <v>10000000</v>
      </c>
    </row>
    <row r="7" customFormat="false" ht="15" hidden="false" customHeight="true" outlineLevel="0" collapsed="false">
      <c r="B7" s="7" t="s">
        <v>4</v>
      </c>
      <c r="C7" s="7" t="s">
        <v>5</v>
      </c>
    </row>
    <row r="8" customFormat="false" ht="15" hidden="false" customHeight="true" outlineLevel="0" collapsed="false">
      <c r="B8" s="7" t="s">
        <v>6</v>
      </c>
      <c r="C8" s="7" t="s">
        <v>7</v>
      </c>
    </row>
    <row r="9" customFormat="false" ht="15" hidden="false" customHeight="true" outlineLevel="0" collapsed="false">
      <c r="B9" s="7" t="s">
        <v>8</v>
      </c>
      <c r="C9" s="8" t="n">
        <f aca="false">'02_Schritt 1 Planungskredit'!C29</f>
        <v>46101459</v>
      </c>
    </row>
    <row r="10" customFormat="false" ht="15" hidden="false" customHeight="true" outlineLevel="0" collapsed="false">
      <c r="B10" s="7" t="s">
        <v>9</v>
      </c>
      <c r="C10" s="9" t="n">
        <f aca="false">'02_Schritt 1 Planungskredit'!C30</f>
        <v>0.21691287470967</v>
      </c>
    </row>
    <row r="11" customFormat="false" ht="15" hidden="false" customHeight="true" outlineLevel="0" collapsed="false">
      <c r="B11" s="7" t="s">
        <v>10</v>
      </c>
      <c r="C11" s="8" t="n">
        <f aca="false">'02_Schritt 1 Planungskredit'!C32</f>
        <v>297000</v>
      </c>
    </row>
    <row r="12" customFormat="false" ht="15" hidden="false" customHeight="true" outlineLevel="0" collapsed="false">
      <c r="B12" s="7" t="s">
        <v>11</v>
      </c>
      <c r="C12" s="7" t="s">
        <v>12</v>
      </c>
    </row>
    <row r="13" customFormat="false" ht="15" hidden="false" customHeight="true" outlineLevel="0" collapsed="false"/>
    <row r="14" customFormat="false" ht="15" hidden="false" customHeight="true" outlineLevel="0" collapsed="false">
      <c r="B14" s="4" t="s">
        <v>13</v>
      </c>
    </row>
    <row r="15" customFormat="false" ht="15" hidden="false" customHeight="true" outlineLevel="0" collapsed="false">
      <c r="B15" s="5" t="s">
        <v>14</v>
      </c>
      <c r="C15" s="6" t="n">
        <f aca="false">'04_DCF und Finanzierung'!$C$57</f>
        <v>166990143</v>
      </c>
    </row>
    <row r="16" customFormat="false" ht="15" hidden="false" customHeight="true" outlineLevel="0" collapsed="false">
      <c r="B16" s="7" t="s">
        <v>15</v>
      </c>
      <c r="C16" s="8" t="n">
        <f aca="false">'04_DCF und Finanzierung'!$C$60</f>
        <v>50097042.9</v>
      </c>
    </row>
    <row r="17" customFormat="false" ht="15" hidden="false" customHeight="true" outlineLevel="0" collapsed="false">
      <c r="B17" s="5" t="s">
        <v>16</v>
      </c>
      <c r="C17" s="10" t="n">
        <f aca="false">'04_DCF und Finanzierung'!$C$61</f>
        <v>0.3</v>
      </c>
    </row>
    <row r="18" customFormat="false" ht="15" hidden="false" customHeight="true" outlineLevel="0" collapsed="false">
      <c r="B18" s="7" t="s">
        <v>17</v>
      </c>
      <c r="C18" s="8" t="n">
        <f aca="false">'04_DCF und Finanzierung'!$C$58</f>
        <v>46101459</v>
      </c>
    </row>
    <row r="19" customFormat="false" ht="15" hidden="false" customHeight="true" outlineLevel="0" collapsed="false">
      <c r="B19" s="7" t="s">
        <v>18</v>
      </c>
      <c r="C19" s="8" t="n">
        <f aca="false">'04_DCF und Finanzierung'!$C$59</f>
        <v>3995583.90000001</v>
      </c>
    </row>
    <row r="20" customFormat="false" ht="15" hidden="false" customHeight="true" outlineLevel="0" collapsed="false">
      <c r="B20" s="5" t="s">
        <v>19</v>
      </c>
      <c r="C20" s="6" t="n">
        <f aca="false">'04_DCF und Finanzierung'!$C$62</f>
        <v>116893100.1</v>
      </c>
    </row>
    <row r="21" customFormat="false" ht="15.75" hidden="false" customHeight="true" outlineLevel="0" collapsed="false">
      <c r="B21" s="7" t="s">
        <v>20</v>
      </c>
      <c r="C21" s="8" t="n">
        <f aca="false">'04_DCF und Finanzierung'!$C$64</f>
        <v>117190100.1</v>
      </c>
    </row>
    <row r="22" customFormat="false" ht="15.75" hidden="false" customHeight="true" outlineLevel="0" collapsed="false">
      <c r="B22" s="7" t="s">
        <v>21</v>
      </c>
      <c r="C22" s="8" t="n">
        <f aca="false">'04_DCF und Finanzierung'!$C$67</f>
        <v>111183188</v>
      </c>
    </row>
    <row r="23" customFormat="false" ht="15.75" hidden="false" customHeight="true" outlineLevel="0" collapsed="false">
      <c r="B23" s="7" t="s">
        <v>22</v>
      </c>
      <c r="C23" s="8" t="n">
        <f aca="false">'04_DCF und Finanzierung'!$C$68</f>
        <v>111183188</v>
      </c>
    </row>
    <row r="24" customFormat="false" ht="15.75" hidden="false" customHeight="true" outlineLevel="0" collapsed="false">
      <c r="B24" s="5" t="s">
        <v>23</v>
      </c>
      <c r="C24" s="6" t="n">
        <f aca="false">'04_DCF und Finanzierung'!$C$65</f>
        <v>64960261.9449316</v>
      </c>
    </row>
    <row r="25" customFormat="false" ht="15.75" hidden="false" customHeight="true" outlineLevel="0" collapsed="false">
      <c r="B25" s="7" t="s">
        <v>24</v>
      </c>
      <c r="C25" s="9" t="n">
        <f aca="false">'04_DCF und Finanzierung'!$C$66</f>
        <v>0.389006565165535</v>
      </c>
    </row>
    <row r="26" customFormat="false" ht="15.75" hidden="false" customHeight="true" outlineLevel="0" collapsed="false">
      <c r="B26" s="7" t="s">
        <v>25</v>
      </c>
      <c r="C26" s="8" t="n">
        <f aca="false">'04_DCF und Finanzierung'!$C$69</f>
        <v>7624661.66048224</v>
      </c>
    </row>
    <row r="27" customFormat="false" ht="15.75" hidden="false" customHeight="true" outlineLevel="0" collapsed="false">
      <c r="B27" s="7" t="s">
        <v>26</v>
      </c>
      <c r="C27" s="8" t="n">
        <f aca="false">'04_DCF und Finanzierung'!$C$70</f>
        <v>72891499.9523255</v>
      </c>
    </row>
    <row r="28" customFormat="false" ht="15.75" hidden="false" customHeight="true" outlineLevel="0" collapsed="false">
      <c r="B28" s="7" t="s">
        <v>27</v>
      </c>
      <c r="C28" s="8" t="n">
        <f aca="false">'04_DCF und Finanzierung'!$C$71</f>
        <v>69086267</v>
      </c>
    </row>
    <row r="29" customFormat="false" ht="15.75" hidden="false" customHeight="true" outlineLevel="0" collapsed="false">
      <c r="B29" s="7" t="s">
        <v>28</v>
      </c>
      <c r="C29" s="8" t="n">
        <f aca="false">'04_DCF und Finanzierung'!$C$72</f>
        <v>36110238.3109131</v>
      </c>
    </row>
    <row r="30" customFormat="false" ht="15.75" hidden="false" customHeight="true" outlineLevel="0" collapsed="false">
      <c r="B30" s="7" t="s">
        <v>29</v>
      </c>
      <c r="C30" s="8" t="n">
        <f aca="false">'04_DCF und Finanzierung'!$C$74</f>
        <v>3626644.40123564</v>
      </c>
    </row>
    <row r="31" customFormat="false" ht="15.75" hidden="false" customHeight="true" outlineLevel="0" collapsed="false">
      <c r="B31" s="7" t="s">
        <v>30</v>
      </c>
      <c r="C31" s="11" t="n">
        <f aca="false">'04_DCF und Finanzierung'!$C$75</f>
        <v>14.4889272250771</v>
      </c>
    </row>
    <row r="32" customFormat="false" ht="15.75" hidden="false" customHeight="true" outlineLevel="0" collapsed="false">
      <c r="B32" s="7" t="s">
        <v>31</v>
      </c>
      <c r="C32" s="12" t="n">
        <f aca="false">'04_DCF und Finanzierung'!$C$77</f>
        <v>0.0533894472987886</v>
      </c>
    </row>
    <row r="33" customFormat="false" ht="15.75" hidden="false" customHeight="true" outlineLevel="0" collapsed="false">
      <c r="B33" s="7" t="s">
        <v>32</v>
      </c>
      <c r="C33" s="12" t="n">
        <f aca="false">'04_DCF und Finanzierung'!$C$78</f>
        <v>0.0602725635485752</v>
      </c>
    </row>
    <row r="34" customFormat="false" ht="15.75" hidden="false" customHeight="true" outlineLevel="0" collapsed="false"/>
    <row r="35" customFormat="false" ht="15.75" hidden="false" customHeight="true" outlineLevel="0" collapsed="false">
      <c r="B35" s="4" t="s">
        <v>33</v>
      </c>
    </row>
    <row r="36" customFormat="false" ht="15.75" hidden="false" customHeight="true" outlineLevel="0" collapsed="false">
      <c r="B36" s="7" t="s">
        <v>34</v>
      </c>
      <c r="C36" s="8" t="n">
        <f aca="false">'05_Residualwert und Marge'!G6</f>
        <v>184074687.952326</v>
      </c>
    </row>
    <row r="37" customFormat="false" ht="15.75" hidden="false" customHeight="true" outlineLevel="0" collapsed="false">
      <c r="B37" s="5" t="s">
        <v>35</v>
      </c>
      <c r="C37" s="6" t="n">
        <f aca="false">'05_Residualwert und Marge'!G13</f>
        <v>12213738.513872</v>
      </c>
    </row>
    <row r="38" customFormat="false" ht="15.75" hidden="false" customHeight="true" outlineLevel="0" collapsed="false">
      <c r="B38" s="7" t="s">
        <v>36</v>
      </c>
      <c r="C38" s="9" t="n">
        <f aca="false">'05_Residualwert und Marge'!G14</f>
        <v>0.071067561035708</v>
      </c>
    </row>
    <row r="39" customFormat="false" ht="15.75" hidden="false" customHeight="true" outlineLevel="0" collapsed="false"/>
    <row r="40" customFormat="false" ht="15.75" hidden="false" customHeight="true" outlineLevel="0" collapsed="false">
      <c r="B40" s="3" t="s">
        <v>37</v>
      </c>
    </row>
    <row r="41" customFormat="false" ht="15.75" hidden="false" customHeight="true" outlineLevel="0" collapsed="false"/>
    <row r="42" customFormat="false" ht="15.75" hidden="false" customHeight="true" outlineLevel="0" collapsed="false"/>
    <row r="43" customFormat="false" ht="15.75" hidden="false" customHeight="true" outlineLevel="0" collapsed="false"/>
    <row r="44" customFormat="false" ht="15.75" hidden="false" customHeight="true" outlineLevel="0" collapsed="false"/>
    <row r="45" customFormat="false" ht="15.75" hidden="false" customHeight="true" outlineLevel="0" collapsed="false"/>
    <row r="46" customFormat="false" ht="15.75" hidden="false" customHeight="true" outlineLevel="0" collapsed="false"/>
    <row r="47" customFormat="false" ht="15.75" hidden="false" customHeight="true" outlineLevel="0" collapsed="false"/>
    <row r="48" customFormat="false" ht="15.75" hidden="false" customHeight="true" outlineLevel="0" collapsed="false"/>
    <row r="49" customFormat="false" ht="15.75" hidden="false" customHeight="true" outlineLevel="0" collapsed="false"/>
    <row r="50" customFormat="false" ht="15.75" hidden="false" customHeight="true" outlineLevel="0" collapsed="false"/>
    <row r="51" customFormat="false" ht="15.75" hidden="false" customHeight="true" outlineLevel="0" collapsed="false"/>
    <row r="52" customFormat="false" ht="15.75" hidden="false" customHeight="true" outlineLevel="0" collapsed="false"/>
    <row r="53" customFormat="false" ht="15.75" hidden="false" customHeight="true" outlineLevel="0" collapsed="false"/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V100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33593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46"/>
    <col collapsed="false" customWidth="true" hidden="false" outlineLevel="0" max="3" min="3" style="1" width="38"/>
    <col collapsed="false" customWidth="true" hidden="false" outlineLevel="0" max="4" min="4" style="1" width="12"/>
    <col collapsed="false" customWidth="true" hidden="false" outlineLevel="0" max="6" min="5" style="1" width="14"/>
    <col collapsed="false" customWidth="true" hidden="false" outlineLevel="0" max="7" min="7" style="1" width="13"/>
    <col collapsed="false" customWidth="true" hidden="false" outlineLevel="0" max="8" min="8" style="1" width="14"/>
    <col collapsed="false" customWidth="true" hidden="false" outlineLevel="0" max="9" min="9" style="1" width="10"/>
    <col collapsed="false" customWidth="true" hidden="false" outlineLevel="0" max="10" min="10" style="1" width="11"/>
    <col collapsed="false" customWidth="true" hidden="false" outlineLevel="0" max="11" min="11" style="1" width="12"/>
    <col collapsed="false" customWidth="true" hidden="false" outlineLevel="0" max="13" min="12" style="1" width="10"/>
    <col collapsed="false" customWidth="true" hidden="false" outlineLevel="0" max="14" min="14" style="1" width="14"/>
    <col collapsed="false" customWidth="true" hidden="false" outlineLevel="0" max="15" min="15" style="1" width="10"/>
    <col collapsed="false" customWidth="true" hidden="false" outlineLevel="0" max="16" min="16" style="1" width="9"/>
    <col collapsed="false" customWidth="true" hidden="false" outlineLevel="0" max="17" min="17" style="1" width="13"/>
    <col collapsed="false" customWidth="true" hidden="false" outlineLevel="0" max="19" min="18" style="1" width="10"/>
    <col collapsed="false" customWidth="true" hidden="false" outlineLevel="0" max="20" min="20" style="1" width="13"/>
    <col collapsed="false" customWidth="true" hidden="false" outlineLevel="0" max="21" min="21" style="1" width="14"/>
    <col collapsed="false" customWidth="true" hidden="false" outlineLevel="0" max="22" min="22" style="1" width="24"/>
    <col collapsed="false" customWidth="true" hidden="false" outlineLevel="0" max="26" min="23" style="1" width="8.71"/>
  </cols>
  <sheetData>
    <row r="1" customFormat="false" ht="15" hidden="false" customHeight="true" outlineLevel="0" collapsed="false"/>
    <row r="2" customFormat="false" ht="18" hidden="false" customHeight="true" outlineLevel="0" collapsed="false">
      <c r="B2" s="2" t="s">
        <v>38</v>
      </c>
    </row>
    <row r="3" customFormat="false" ht="15" hidden="false" customHeight="true" outlineLevel="0" collapsed="false">
      <c r="B3" s="3" t="s">
        <v>39</v>
      </c>
    </row>
    <row r="4" customFormat="false" ht="15" hidden="false" customHeight="true" outlineLevel="0" collapsed="false"/>
    <row r="5" customFormat="false" ht="15" hidden="false" customHeight="true" outlineLevel="0" collapsed="false">
      <c r="B5" s="4" t="s">
        <v>40</v>
      </c>
    </row>
    <row r="6" customFormat="false" ht="19.5" hidden="false" customHeight="true" outlineLevel="0" collapsed="false">
      <c r="B6" s="13" t="s">
        <v>41</v>
      </c>
      <c r="C6" s="14" t="s">
        <v>42</v>
      </c>
      <c r="D6" s="14" t="s">
        <v>43</v>
      </c>
      <c r="E6" s="14" t="s">
        <v>44</v>
      </c>
    </row>
    <row r="7" customFormat="false" ht="15" hidden="false" customHeight="true" outlineLevel="0" collapsed="false">
      <c r="B7" s="7" t="s">
        <v>45</v>
      </c>
      <c r="C7" s="15" t="s">
        <v>46</v>
      </c>
      <c r="D7" s="7"/>
      <c r="E7" s="16" t="s">
        <v>47</v>
      </c>
    </row>
    <row r="8" customFormat="false" ht="15" hidden="false" customHeight="true" outlineLevel="0" collapsed="false">
      <c r="B8" s="7" t="s">
        <v>48</v>
      </c>
      <c r="C8" s="17" t="n">
        <v>2026</v>
      </c>
      <c r="D8" s="7" t="s">
        <v>49</v>
      </c>
      <c r="E8" s="16" t="s">
        <v>50</v>
      </c>
    </row>
    <row r="9" customFormat="false" ht="15" hidden="false" customHeight="true" outlineLevel="0" collapsed="false">
      <c r="B9" s="7" t="s">
        <v>51</v>
      </c>
      <c r="C9" s="18" t="n">
        <f aca="false">SUMPRODUCT((1-P30:P33)*T30:T33)/SUMPRODUCT((1-P30:P33)*N30:N33)</f>
        <v>0.0485967164911797</v>
      </c>
      <c r="D9" s="7" t="s">
        <v>52</v>
      </c>
      <c r="E9" s="16" t="s">
        <v>53</v>
      </c>
    </row>
    <row r="10" customFormat="false" ht="15" hidden="false" customHeight="true" outlineLevel="0" collapsed="false">
      <c r="B10" s="7" t="s">
        <v>54</v>
      </c>
      <c r="C10" s="18" t="n">
        <f aca="false">SUMPRODUCT((1-P30:P33)*H30:H33,L30:L33)/SUMPRODUCT((1-P30:P33)*H30:H33)</f>
        <v>0.00788213723384795</v>
      </c>
      <c r="D10" s="7" t="s">
        <v>52</v>
      </c>
      <c r="E10" s="16" t="s">
        <v>55</v>
      </c>
    </row>
    <row r="11" customFormat="false" ht="15" hidden="false" customHeight="true" outlineLevel="0" collapsed="false">
      <c r="B11" s="7" t="s">
        <v>56</v>
      </c>
      <c r="C11" s="19" t="n">
        <v>0.01</v>
      </c>
      <c r="D11" s="7" t="s">
        <v>52</v>
      </c>
      <c r="E11" s="16" t="s">
        <v>57</v>
      </c>
    </row>
    <row r="12" customFormat="false" ht="15" hidden="false" customHeight="true" outlineLevel="0" collapsed="false">
      <c r="B12" s="7" t="s">
        <v>58</v>
      </c>
      <c r="C12" s="20" t="n">
        <f aca="false">C9+C10+C11</f>
        <v>0.0664788537250277</v>
      </c>
      <c r="D12" s="7" t="s">
        <v>52</v>
      </c>
      <c r="E12" s="16" t="s">
        <v>59</v>
      </c>
    </row>
    <row r="13" customFormat="false" ht="15" hidden="false" customHeight="true" outlineLevel="0" collapsed="false">
      <c r="B13" s="7" t="s">
        <v>60</v>
      </c>
      <c r="C13" s="21" t="n">
        <v>0.0015</v>
      </c>
      <c r="D13" s="7" t="s">
        <v>52</v>
      </c>
      <c r="E13" s="16" t="s">
        <v>61</v>
      </c>
    </row>
    <row r="14" customFormat="false" ht="15" hidden="false" customHeight="true" outlineLevel="0" collapsed="false">
      <c r="B14" s="7" t="s">
        <v>62</v>
      </c>
      <c r="C14" s="17" t="n">
        <v>2040</v>
      </c>
      <c r="D14" s="7" t="s">
        <v>49</v>
      </c>
      <c r="E14" s="16" t="s">
        <v>63</v>
      </c>
    </row>
    <row r="15" customFormat="false" ht="15" hidden="false" customHeight="true" outlineLevel="0" collapsed="false"/>
    <row r="16" customFormat="false" ht="15" hidden="false" customHeight="true" outlineLevel="0" collapsed="false">
      <c r="B16" s="4" t="s">
        <v>64</v>
      </c>
    </row>
    <row r="17" customFormat="false" ht="19.5" hidden="false" customHeight="true" outlineLevel="0" collapsed="false">
      <c r="B17" s="13" t="s">
        <v>41</v>
      </c>
      <c r="C17" s="14" t="s">
        <v>42</v>
      </c>
      <c r="D17" s="14" t="s">
        <v>43</v>
      </c>
      <c r="E17" s="14" t="s">
        <v>44</v>
      </c>
    </row>
    <row r="18" customFormat="false" ht="15" hidden="false" customHeight="true" outlineLevel="0" collapsed="false">
      <c r="B18" s="7" t="s">
        <v>65</v>
      </c>
      <c r="C18" s="22" t="n">
        <v>0.7</v>
      </c>
      <c r="D18" s="7" t="s">
        <v>52</v>
      </c>
      <c r="E18" s="16" t="s">
        <v>66</v>
      </c>
    </row>
    <row r="19" customFormat="false" ht="15" hidden="false" customHeight="true" outlineLevel="0" collapsed="false">
      <c r="B19" s="7" t="s">
        <v>67</v>
      </c>
      <c r="C19" s="23" t="n">
        <f aca="false">1-C18</f>
        <v>0.3</v>
      </c>
      <c r="D19" s="7" t="s">
        <v>52</v>
      </c>
      <c r="E19" s="16" t="s">
        <v>68</v>
      </c>
    </row>
    <row r="20" customFormat="false" ht="15" hidden="false" customHeight="true" outlineLevel="0" collapsed="false">
      <c r="B20" s="7" t="s">
        <v>69</v>
      </c>
      <c r="C20" s="19" t="n">
        <v>0.0225</v>
      </c>
      <c r="D20" s="7" t="s">
        <v>52</v>
      </c>
      <c r="E20" s="16" t="s">
        <v>70</v>
      </c>
    </row>
    <row r="21" customFormat="false" ht="15.75" hidden="false" customHeight="true" outlineLevel="0" collapsed="false">
      <c r="B21" s="7" t="s">
        <v>71</v>
      </c>
      <c r="C21" s="24" t="n">
        <v>0.6</v>
      </c>
      <c r="D21" s="7" t="s">
        <v>52</v>
      </c>
      <c r="E21" s="16" t="s">
        <v>72</v>
      </c>
    </row>
    <row r="22" customFormat="false" ht="15.75" hidden="false" customHeight="true" outlineLevel="0" collapsed="false">
      <c r="B22" s="7" t="s">
        <v>73</v>
      </c>
      <c r="C22" s="21" t="n">
        <v>0.01</v>
      </c>
      <c r="D22" s="7" t="s">
        <v>52</v>
      </c>
      <c r="E22" s="16" t="s">
        <v>74</v>
      </c>
    </row>
    <row r="23" customFormat="false" ht="15.75" hidden="false" customHeight="true" outlineLevel="0" collapsed="false">
      <c r="B23" s="7" t="s">
        <v>75</v>
      </c>
      <c r="C23" s="17" t="n">
        <v>2033</v>
      </c>
      <c r="D23" s="7" t="s">
        <v>49</v>
      </c>
      <c r="E23" s="16" t="s">
        <v>76</v>
      </c>
    </row>
    <row r="24" customFormat="false" ht="15.75" hidden="false" customHeight="true" outlineLevel="0" collapsed="false">
      <c r="B24" s="7" t="s">
        <v>77</v>
      </c>
      <c r="C24" s="25" t="n">
        <v>1.25</v>
      </c>
      <c r="D24" s="7" t="s">
        <v>78</v>
      </c>
      <c r="E24" s="16" t="s">
        <v>79</v>
      </c>
    </row>
    <row r="25" customFormat="false" ht="15.75" hidden="false" customHeight="true" outlineLevel="0" collapsed="false">
      <c r="B25" s="7" t="s">
        <v>80</v>
      </c>
      <c r="C25" s="26" t="n">
        <v>46101459</v>
      </c>
      <c r="D25" s="7" t="s">
        <v>81</v>
      </c>
      <c r="E25" s="16" t="s">
        <v>82</v>
      </c>
      <c r="J25" s="27"/>
    </row>
    <row r="26" customFormat="false" ht="15.75" hidden="false" customHeight="true" outlineLevel="0" collapsed="false">
      <c r="B26" s="7" t="s">
        <v>83</v>
      </c>
      <c r="C26" s="28" t="n">
        <v>1500000</v>
      </c>
      <c r="D26" s="7" t="s">
        <v>81</v>
      </c>
      <c r="E26" s="16" t="s">
        <v>84</v>
      </c>
    </row>
    <row r="27" customFormat="false" ht="15.75" hidden="false" customHeight="true" outlineLevel="0" collapsed="false">
      <c r="B27" s="7" t="s">
        <v>85</v>
      </c>
      <c r="C27" s="26" t="n">
        <v>10000000</v>
      </c>
      <c r="D27" s="7" t="s">
        <v>81</v>
      </c>
      <c r="E27" s="16" t="s">
        <v>86</v>
      </c>
    </row>
    <row r="28" customFormat="false" ht="15.75" hidden="false" customHeight="true" outlineLevel="0" collapsed="false">
      <c r="B28" s="29" t="s">
        <v>87</v>
      </c>
      <c r="C28" s="17" t="n">
        <v>2028</v>
      </c>
      <c r="D28" s="7" t="s">
        <v>49</v>
      </c>
      <c r="E28" s="16" t="s">
        <v>88</v>
      </c>
    </row>
    <row r="29" customFormat="false" ht="43.5" hidden="false" customHeight="true" outlineLevel="0" collapsed="false">
      <c r="B29" s="13" t="s">
        <v>89</v>
      </c>
      <c r="C29" s="14" t="s">
        <v>90</v>
      </c>
      <c r="D29" s="14" t="s">
        <v>91</v>
      </c>
      <c r="E29" s="14" t="s">
        <v>92</v>
      </c>
      <c r="F29" s="14" t="s">
        <v>93</v>
      </c>
      <c r="G29" s="14" t="s">
        <v>94</v>
      </c>
      <c r="H29" s="14" t="s">
        <v>95</v>
      </c>
      <c r="I29" s="14" t="s">
        <v>96</v>
      </c>
      <c r="J29" s="14" t="s">
        <v>97</v>
      </c>
      <c r="K29" s="14" t="s">
        <v>98</v>
      </c>
      <c r="L29" s="14" t="s">
        <v>99</v>
      </c>
      <c r="M29" s="14" t="s">
        <v>100</v>
      </c>
      <c r="N29" s="14" t="s">
        <v>101</v>
      </c>
      <c r="O29" s="14" t="s">
        <v>102</v>
      </c>
      <c r="P29" s="14" t="s">
        <v>103</v>
      </c>
      <c r="Q29" s="14" t="s">
        <v>104</v>
      </c>
      <c r="R29" s="14" t="s">
        <v>105</v>
      </c>
      <c r="S29" s="14" t="s">
        <v>106</v>
      </c>
      <c r="T29" s="14" t="s">
        <v>107</v>
      </c>
      <c r="U29" s="14" t="s">
        <v>108</v>
      </c>
      <c r="V29" s="14" t="s">
        <v>109</v>
      </c>
    </row>
    <row r="30" customFormat="false" ht="15.75" hidden="false" customHeight="true" outlineLevel="0" collapsed="false">
      <c r="B30" s="5" t="s">
        <v>110</v>
      </c>
      <c r="C30" s="7" t="s">
        <v>111</v>
      </c>
      <c r="D30" s="28" t="n">
        <v>3614</v>
      </c>
      <c r="E30" s="26" t="n">
        <v>22700000</v>
      </c>
      <c r="F30" s="28" t="n">
        <v>3500000</v>
      </c>
      <c r="G30" s="28" t="n">
        <v>0</v>
      </c>
      <c r="H30" s="26" t="n">
        <v>1207226</v>
      </c>
      <c r="I30" s="24" t="n">
        <v>0.022</v>
      </c>
      <c r="J30" s="24" t="n">
        <v>0.1267</v>
      </c>
      <c r="K30" s="24" t="n">
        <v>0.3533</v>
      </c>
      <c r="L30" s="21" t="n">
        <v>0.01</v>
      </c>
      <c r="M30" s="19" t="n">
        <v>0.03458</v>
      </c>
      <c r="N30" s="30" t="n">
        <f aca="false">T30/M30</f>
        <v>29719823.4181608</v>
      </c>
      <c r="O30" s="31" t="n">
        <v>2029</v>
      </c>
      <c r="P30" s="17" t="n">
        <v>1</v>
      </c>
      <c r="Q30" s="26" t="n">
        <v>35059680</v>
      </c>
      <c r="R30" s="24" t="n">
        <v>0.025</v>
      </c>
      <c r="S30" s="17" t="n">
        <v>2029</v>
      </c>
      <c r="T30" s="30" t="n">
        <f aca="false">H30*(1-I30-J30)</f>
        <v>1027711.4938</v>
      </c>
      <c r="U30" s="28" t="n">
        <v>28268636</v>
      </c>
      <c r="V30" s="7" t="s">
        <v>112</v>
      </c>
    </row>
    <row r="31" customFormat="false" ht="15.75" hidden="false" customHeight="true" outlineLevel="0" collapsed="false">
      <c r="B31" s="5" t="s">
        <v>113</v>
      </c>
      <c r="C31" s="7" t="s">
        <v>114</v>
      </c>
      <c r="D31" s="28" t="n">
        <v>4922.35</v>
      </c>
      <c r="E31" s="26" t="n">
        <v>23842123</v>
      </c>
      <c r="F31" s="28" t="n">
        <v>2500000</v>
      </c>
      <c r="G31" s="28" t="n">
        <v>0</v>
      </c>
      <c r="H31" s="26" t="n">
        <v>2174758</v>
      </c>
      <c r="I31" s="24" t="n">
        <v>0.0543</v>
      </c>
      <c r="J31" s="24" t="n">
        <v>0.197</v>
      </c>
      <c r="K31" s="24" t="n">
        <v>0.4267</v>
      </c>
      <c r="L31" s="21" t="n">
        <v>0.0082</v>
      </c>
      <c r="M31" s="19" t="n">
        <v>0.04543</v>
      </c>
      <c r="N31" s="30" t="n">
        <f aca="false">T31/M31</f>
        <v>35840662.8791547</v>
      </c>
      <c r="O31" s="31" t="n">
        <v>2030</v>
      </c>
      <c r="P31" s="17" t="n">
        <v>0</v>
      </c>
      <c r="Q31" s="28" t="n">
        <v>0</v>
      </c>
      <c r="R31" s="24" t="n">
        <v>0</v>
      </c>
      <c r="S31" s="17" t="n">
        <v>2030</v>
      </c>
      <c r="T31" s="30" t="n">
        <f aca="false">H31*(1-I31-J31)</f>
        <v>1628241.3146</v>
      </c>
      <c r="U31" s="28" t="n">
        <v>33931894</v>
      </c>
      <c r="V31" s="7" t="s">
        <v>115</v>
      </c>
    </row>
    <row r="32" customFormat="false" ht="15.75" hidden="false" customHeight="true" outlineLevel="0" collapsed="false">
      <c r="B32" s="5" t="s">
        <v>116</v>
      </c>
      <c r="C32" s="7" t="s">
        <v>117</v>
      </c>
      <c r="D32" s="28" t="n">
        <v>6443</v>
      </c>
      <c r="E32" s="26" t="n">
        <v>27263728</v>
      </c>
      <c r="F32" s="28" t="n">
        <v>2000000</v>
      </c>
      <c r="G32" s="28" t="n">
        <v>0</v>
      </c>
      <c r="H32" s="26" t="n">
        <v>2450136</v>
      </c>
      <c r="I32" s="24" t="n">
        <v>0.067</v>
      </c>
      <c r="J32" s="24" t="n">
        <v>0.1518</v>
      </c>
      <c r="K32" s="24" t="n">
        <v>0.4351</v>
      </c>
      <c r="L32" s="21" t="n">
        <v>0.0076</v>
      </c>
      <c r="M32" s="19" t="n">
        <v>0.05166</v>
      </c>
      <c r="N32" s="30" t="n">
        <f aca="false">T32/M32</f>
        <v>37050837.0731707</v>
      </c>
      <c r="O32" s="31" t="n">
        <v>2030</v>
      </c>
      <c r="P32" s="17" t="n">
        <v>0</v>
      </c>
      <c r="Q32" s="28" t="n">
        <v>0</v>
      </c>
      <c r="R32" s="24" t="n">
        <v>0</v>
      </c>
      <c r="S32" s="17" t="n">
        <v>2030</v>
      </c>
      <c r="T32" s="30" t="n">
        <f aca="false">H32*(1-I32-J32)</f>
        <v>1914046.2432</v>
      </c>
      <c r="U32" s="28" t="n">
        <v>35154373</v>
      </c>
      <c r="V32" s="7" t="s">
        <v>115</v>
      </c>
    </row>
    <row r="33" customFormat="false" ht="15.75" hidden="false" customHeight="true" outlineLevel="0" collapsed="false">
      <c r="B33" s="5" t="s">
        <v>118</v>
      </c>
      <c r="C33" s="7" t="s">
        <v>119</v>
      </c>
      <c r="D33" s="28" t="n">
        <v>7249</v>
      </c>
      <c r="E33" s="26" t="n">
        <v>38582833</v>
      </c>
      <c r="F33" s="28" t="n">
        <v>500000</v>
      </c>
      <c r="G33" s="28" t="n">
        <v>7000000</v>
      </c>
      <c r="H33" s="26" t="n">
        <v>2422677</v>
      </c>
      <c r="I33" s="24" t="n">
        <v>0.022</v>
      </c>
      <c r="J33" s="24" t="n">
        <v>0.1267</v>
      </c>
      <c r="K33" s="24" t="n">
        <v>0.3533</v>
      </c>
      <c r="L33" s="21" t="n">
        <v>0.01</v>
      </c>
      <c r="M33" s="19" t="n">
        <v>0.03457</v>
      </c>
      <c r="N33" s="30" t="n">
        <f aca="false">T33/M33</f>
        <v>59659384.7295343</v>
      </c>
      <c r="O33" s="31" t="n">
        <v>2032</v>
      </c>
      <c r="P33" s="17" t="n">
        <v>1</v>
      </c>
      <c r="Q33" s="26" t="n">
        <v>77000000</v>
      </c>
      <c r="R33" s="24" t="n">
        <v>0</v>
      </c>
      <c r="S33" s="17" t="n">
        <v>2031</v>
      </c>
      <c r="T33" s="30" t="n">
        <f aca="false">H33*(1-I33-J33)</f>
        <v>2062424.9301</v>
      </c>
      <c r="U33" s="28" t="n">
        <v>56732772</v>
      </c>
      <c r="V33" s="7" t="s">
        <v>112</v>
      </c>
    </row>
    <row r="34" customFormat="false" ht="15.75" hidden="false" customHeight="true" outlineLevel="0" collapsed="false">
      <c r="B34" s="32"/>
      <c r="C34" s="32" t="s">
        <v>120</v>
      </c>
      <c r="D34" s="33" t="n">
        <f aca="false">SUM(D30:D33)</f>
        <v>22228.35</v>
      </c>
      <c r="E34" s="33" t="n">
        <f aca="false">SUM(E30:E33)</f>
        <v>112388684</v>
      </c>
      <c r="F34" s="33" t="n">
        <f aca="false">SUM(F30:F33)</f>
        <v>8500000</v>
      </c>
      <c r="G34" s="33" t="n">
        <f aca="false">SUM(G30:G33)</f>
        <v>7000000</v>
      </c>
      <c r="H34" s="33" t="n">
        <f aca="false">SUM(H30:H33)</f>
        <v>8254797</v>
      </c>
      <c r="I34" s="32"/>
      <c r="J34" s="32"/>
      <c r="K34" s="32"/>
      <c r="L34" s="32"/>
      <c r="M34" s="32"/>
      <c r="N34" s="33" t="n">
        <f aca="false">SUM(N30:N33)</f>
        <v>162270708.100021</v>
      </c>
      <c r="O34" s="32"/>
      <c r="P34" s="32"/>
      <c r="Q34" s="33" t="n">
        <f aca="false">SUM(Q30:Q33)</f>
        <v>112059680</v>
      </c>
      <c r="R34" s="32"/>
      <c r="S34" s="32"/>
      <c r="T34" s="33" t="n">
        <f aca="false">SUM(T30:T33)</f>
        <v>6632423.9817</v>
      </c>
      <c r="U34" s="33" t="n">
        <f aca="false">SUM(U30:U33)</f>
        <v>154087675</v>
      </c>
      <c r="V34" s="32"/>
    </row>
    <row r="35" customFormat="false" ht="15.75" hidden="false" customHeight="true" outlineLevel="0" collapsed="false">
      <c r="B35" s="3" t="s">
        <v>121</v>
      </c>
    </row>
    <row r="36" customFormat="false" ht="15.75" hidden="false" customHeight="true" outlineLevel="0" collapsed="false">
      <c r="B36" s="3" t="s">
        <v>122</v>
      </c>
    </row>
    <row r="37" customFormat="false" ht="15.75" hidden="false" customHeight="true" outlineLevel="0" collapsed="false"/>
    <row r="38" customFormat="false" ht="15.75" hidden="false" customHeight="true" outlineLevel="0" collapsed="false">
      <c r="B38" s="4" t="s">
        <v>123</v>
      </c>
    </row>
    <row r="39" customFormat="false" ht="21.75" hidden="false" customHeight="true" outlineLevel="0" collapsed="false">
      <c r="B39" s="13" t="s">
        <v>89</v>
      </c>
      <c r="C39" s="14" t="s">
        <v>124</v>
      </c>
      <c r="D39" s="14" t="s">
        <v>125</v>
      </c>
      <c r="E39" s="14" t="s">
        <v>126</v>
      </c>
      <c r="F39" s="14" t="s">
        <v>127</v>
      </c>
      <c r="G39" s="14" t="s">
        <v>128</v>
      </c>
      <c r="H39" s="14" t="s">
        <v>129</v>
      </c>
      <c r="I39" s="14" t="s">
        <v>130</v>
      </c>
      <c r="J39" s="14" t="s">
        <v>131</v>
      </c>
      <c r="K39" s="14" t="s">
        <v>132</v>
      </c>
    </row>
    <row r="40" customFormat="false" ht="15.75" hidden="false" customHeight="true" outlineLevel="0" collapsed="false">
      <c r="B40" s="5" t="s">
        <v>110</v>
      </c>
      <c r="C40" s="7" t="s">
        <v>133</v>
      </c>
      <c r="D40" s="24" t="n">
        <v>0</v>
      </c>
      <c r="E40" s="24" t="n">
        <v>0</v>
      </c>
      <c r="F40" s="22" t="n">
        <v>0.9</v>
      </c>
      <c r="G40" s="22" t="n">
        <v>0.1</v>
      </c>
      <c r="H40" s="24" t="n">
        <v>0</v>
      </c>
      <c r="I40" s="24" t="n">
        <v>0</v>
      </c>
      <c r="J40" s="24" t="n">
        <v>0</v>
      </c>
      <c r="K40" s="34" t="n">
        <f aca="false">SUM(D40:J40)</f>
        <v>1</v>
      </c>
    </row>
    <row r="41" customFormat="false" ht="15.75" hidden="false" customHeight="true" outlineLevel="0" collapsed="false">
      <c r="B41" s="5" t="s">
        <v>113</v>
      </c>
      <c r="C41" s="7" t="s">
        <v>134</v>
      </c>
      <c r="D41" s="24" t="n">
        <v>0</v>
      </c>
      <c r="E41" s="24" t="n">
        <v>0</v>
      </c>
      <c r="F41" s="22" t="n">
        <v>0.4</v>
      </c>
      <c r="G41" s="22" t="n">
        <v>0.6</v>
      </c>
      <c r="H41" s="24" t="n">
        <v>0</v>
      </c>
      <c r="I41" s="24" t="n">
        <v>0</v>
      </c>
      <c r="J41" s="24" t="n">
        <v>0</v>
      </c>
      <c r="K41" s="34" t="n">
        <f aca="false">SUM(D41:J41)</f>
        <v>1</v>
      </c>
    </row>
    <row r="42" customFormat="false" ht="15.75" hidden="false" customHeight="true" outlineLevel="0" collapsed="false">
      <c r="B42" s="5" t="s">
        <v>116</v>
      </c>
      <c r="C42" s="7" t="s">
        <v>135</v>
      </c>
      <c r="D42" s="24" t="n">
        <v>0</v>
      </c>
      <c r="E42" s="24" t="n">
        <v>0</v>
      </c>
      <c r="F42" s="22" t="n">
        <v>0.35</v>
      </c>
      <c r="G42" s="22" t="n">
        <v>0.55</v>
      </c>
      <c r="H42" s="22" t="n">
        <v>0.1</v>
      </c>
      <c r="I42" s="24" t="n">
        <v>0</v>
      </c>
      <c r="J42" s="24" t="n">
        <v>0</v>
      </c>
      <c r="K42" s="34" t="n">
        <f aca="false">SUM(D42:J42)</f>
        <v>1</v>
      </c>
    </row>
    <row r="43" customFormat="false" ht="15.75" hidden="false" customHeight="true" outlineLevel="0" collapsed="false">
      <c r="B43" s="5" t="s">
        <v>118</v>
      </c>
      <c r="C43" s="7" t="s">
        <v>136</v>
      </c>
      <c r="D43" s="24" t="n">
        <v>0</v>
      </c>
      <c r="E43" s="24" t="n">
        <v>0</v>
      </c>
      <c r="F43" s="24" t="n">
        <v>0</v>
      </c>
      <c r="G43" s="24" t="n">
        <v>0</v>
      </c>
      <c r="H43" s="22" t="n">
        <v>0.5</v>
      </c>
      <c r="I43" s="22" t="n">
        <v>0.5</v>
      </c>
      <c r="J43" s="24" t="n">
        <v>0</v>
      </c>
      <c r="K43" s="34" t="n">
        <f aca="false">SUM(D43:J43)</f>
        <v>1</v>
      </c>
    </row>
    <row r="44" customFormat="false" ht="15.75" hidden="false" customHeight="true" outlineLevel="0" collapsed="false"/>
    <row r="45" customFormat="false" ht="15.75" hidden="false" customHeight="true" outlineLevel="0" collapsed="false">
      <c r="B45" s="4" t="s">
        <v>137</v>
      </c>
    </row>
    <row r="46" customFormat="false" ht="21.75" hidden="false" customHeight="true" outlineLevel="0" collapsed="false">
      <c r="B46" s="13" t="s">
        <v>138</v>
      </c>
      <c r="C46" s="14"/>
      <c r="D46" s="14" t="s">
        <v>126</v>
      </c>
      <c r="E46" s="14" t="s">
        <v>127</v>
      </c>
      <c r="F46" s="14" t="s">
        <v>128</v>
      </c>
      <c r="G46" s="14" t="s">
        <v>129</v>
      </c>
      <c r="H46" s="14" t="s">
        <v>130</v>
      </c>
      <c r="I46" s="14" t="s">
        <v>132</v>
      </c>
    </row>
    <row r="47" customFormat="false" ht="15.75" hidden="false" customHeight="true" outlineLevel="0" collapsed="false">
      <c r="B47" s="5" t="s">
        <v>118</v>
      </c>
      <c r="D47" s="24" t="n">
        <v>0.1</v>
      </c>
      <c r="E47" s="24" t="n">
        <v>0.2</v>
      </c>
      <c r="F47" s="24" t="n">
        <v>0.3</v>
      </c>
      <c r="G47" s="24" t="n">
        <v>0.3</v>
      </c>
      <c r="H47" s="24" t="n">
        <v>0.1</v>
      </c>
      <c r="I47" s="34" t="n">
        <f aca="false">SUM(D47:H47)</f>
        <v>1</v>
      </c>
    </row>
    <row r="48" customFormat="false" ht="15.75" hidden="false" customHeight="true" outlineLevel="0" collapsed="false"/>
    <row r="49" customFormat="false" ht="15.75" hidden="false" customHeight="true" outlineLevel="0" collapsed="false"/>
    <row r="50" customFormat="false" ht="15.75" hidden="false" customHeight="true" outlineLevel="0" collapsed="false"/>
    <row r="51" customFormat="false" ht="15.75" hidden="false" customHeight="true" outlineLevel="0" collapsed="false"/>
    <row r="52" customFormat="false" ht="15.75" hidden="false" customHeight="true" outlineLevel="0" collapsed="false"/>
    <row r="53" customFormat="false" ht="15.75" hidden="false" customHeight="true" outlineLevel="0" collapsed="false"/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L100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33593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50"/>
    <col collapsed="false" customWidth="true" hidden="false" outlineLevel="0" max="3" min="3" style="1" width="22"/>
    <col collapsed="false" customWidth="true" hidden="false" outlineLevel="0" max="12" min="4" style="1" width="12"/>
    <col collapsed="false" customWidth="true" hidden="false" outlineLevel="0" max="26" min="13" style="1" width="8.71"/>
  </cols>
  <sheetData>
    <row r="1" customFormat="false" ht="15" hidden="false" customHeight="true" outlineLevel="0" collapsed="false"/>
    <row r="2" customFormat="false" ht="18" hidden="false" customHeight="true" outlineLevel="0" collapsed="false">
      <c r="B2" s="2" t="s">
        <v>139</v>
      </c>
    </row>
    <row r="3" customFormat="false" ht="15" hidden="false" customHeight="true" outlineLevel="0" collapsed="false">
      <c r="B3" s="3" t="s">
        <v>140</v>
      </c>
    </row>
    <row r="4" customFormat="false" ht="15" hidden="false" customHeight="true" outlineLevel="0" collapsed="false"/>
    <row r="5" customFormat="false" ht="21.75" hidden="false" customHeight="true" outlineLevel="0" collapsed="false">
      <c r="B5" s="13" t="s">
        <v>141</v>
      </c>
      <c r="C5" s="14" t="s">
        <v>142</v>
      </c>
      <c r="D5" s="14" t="s">
        <v>143</v>
      </c>
      <c r="E5" s="14" t="s">
        <v>144</v>
      </c>
      <c r="F5" s="14" t="s">
        <v>145</v>
      </c>
      <c r="G5" s="14" t="s">
        <v>146</v>
      </c>
      <c r="H5" s="14" t="s">
        <v>147</v>
      </c>
      <c r="I5" s="14" t="s">
        <v>148</v>
      </c>
      <c r="J5" s="14" t="s">
        <v>149</v>
      </c>
      <c r="K5" s="14" t="s">
        <v>150</v>
      </c>
      <c r="L5" s="14" t="s">
        <v>132</v>
      </c>
    </row>
    <row r="6" customFormat="false" ht="15" hidden="false" customHeight="true" outlineLevel="0" collapsed="false">
      <c r="B6" s="5" t="s">
        <v>151</v>
      </c>
      <c r="C6" s="30" t="n">
        <f aca="false">01_Annahmen!F30</f>
        <v>3500000</v>
      </c>
      <c r="D6" s="28" t="n">
        <v>525000</v>
      </c>
      <c r="E6" s="28" t="n">
        <v>525000</v>
      </c>
      <c r="F6" s="28" t="n">
        <v>525000</v>
      </c>
      <c r="G6" s="28" t="n">
        <v>525000</v>
      </c>
      <c r="H6" s="28" t="n">
        <v>525000</v>
      </c>
      <c r="I6" s="28" t="n">
        <v>525000</v>
      </c>
      <c r="J6" s="28" t="n">
        <v>175000</v>
      </c>
      <c r="K6" s="28" t="n">
        <v>175000</v>
      </c>
      <c r="L6" s="35" t="n">
        <f aca="false">SUM(D6:K6)</f>
        <v>3500000</v>
      </c>
    </row>
    <row r="7" customFormat="false" ht="15" hidden="false" customHeight="true" outlineLevel="0" collapsed="false">
      <c r="B7" s="5" t="s">
        <v>152</v>
      </c>
      <c r="C7" s="30" t="n">
        <f aca="false">01_Annahmen!F31</f>
        <v>2500000</v>
      </c>
      <c r="D7" s="28" t="n">
        <v>250000</v>
      </c>
      <c r="E7" s="28" t="n">
        <v>375000</v>
      </c>
      <c r="F7" s="28" t="n">
        <v>500000</v>
      </c>
      <c r="G7" s="28" t="n">
        <v>250000</v>
      </c>
      <c r="H7" s="28" t="n">
        <v>250000</v>
      </c>
      <c r="I7" s="28" t="n">
        <v>375000</v>
      </c>
      <c r="J7" s="28" t="n">
        <v>375000</v>
      </c>
      <c r="K7" s="28" t="n">
        <v>125000</v>
      </c>
      <c r="L7" s="35" t="n">
        <f aca="false">SUM(D7:K7)</f>
        <v>2500000</v>
      </c>
    </row>
    <row r="8" customFormat="false" ht="15" hidden="false" customHeight="true" outlineLevel="0" collapsed="false">
      <c r="B8" s="5" t="s">
        <v>153</v>
      </c>
      <c r="C8" s="30" t="n">
        <f aca="false">01_Annahmen!F32</f>
        <v>2000000</v>
      </c>
      <c r="D8" s="28" t="n">
        <v>200000</v>
      </c>
      <c r="E8" s="28" t="n">
        <v>300000</v>
      </c>
      <c r="F8" s="28" t="n">
        <v>400000</v>
      </c>
      <c r="G8" s="28" t="n">
        <v>200000</v>
      </c>
      <c r="H8" s="28" t="n">
        <v>200000</v>
      </c>
      <c r="I8" s="28" t="n">
        <v>300000</v>
      </c>
      <c r="J8" s="28" t="n">
        <v>300000</v>
      </c>
      <c r="K8" s="28" t="n">
        <v>100000</v>
      </c>
      <c r="L8" s="35" t="n">
        <f aca="false">SUM(D8:K8)</f>
        <v>2000000</v>
      </c>
    </row>
    <row r="9" customFormat="false" ht="15" hidden="false" customHeight="true" outlineLevel="0" collapsed="false">
      <c r="B9" s="5" t="s">
        <v>154</v>
      </c>
      <c r="C9" s="30" t="n">
        <f aca="false">01_Annahmen!F33</f>
        <v>500000</v>
      </c>
      <c r="D9" s="28" t="n">
        <v>100000</v>
      </c>
      <c r="E9" s="28" t="n">
        <v>150000</v>
      </c>
      <c r="F9" s="28" t="n">
        <v>100000</v>
      </c>
      <c r="G9" s="28" t="n">
        <v>50000</v>
      </c>
      <c r="H9" s="28" t="n">
        <v>50000</v>
      </c>
      <c r="I9" s="28" t="n">
        <v>25000</v>
      </c>
      <c r="J9" s="28" t="n">
        <v>25000</v>
      </c>
      <c r="K9" s="28" t="n">
        <v>0</v>
      </c>
      <c r="L9" s="35" t="n">
        <f aca="false">SUM(D9:K9)</f>
        <v>500000</v>
      </c>
    </row>
    <row r="10" customFormat="false" ht="15" hidden="false" customHeight="true" outlineLevel="0" collapsed="false">
      <c r="B10" s="5" t="s">
        <v>155</v>
      </c>
      <c r="C10" s="30" t="n">
        <f aca="false">01_Annahmen!C26</f>
        <v>1500000</v>
      </c>
      <c r="D10" s="28" t="n">
        <v>187500</v>
      </c>
      <c r="E10" s="28" t="n">
        <v>187500</v>
      </c>
      <c r="F10" s="28" t="n">
        <v>187500</v>
      </c>
      <c r="G10" s="28" t="n">
        <v>187500</v>
      </c>
      <c r="H10" s="28" t="n">
        <v>187500</v>
      </c>
      <c r="I10" s="28" t="n">
        <v>187500</v>
      </c>
      <c r="J10" s="28" t="n">
        <v>187500</v>
      </c>
      <c r="K10" s="28" t="n">
        <v>187500</v>
      </c>
      <c r="L10" s="35" t="n">
        <f aca="false">SUM(D10:K10)</f>
        <v>1500000</v>
      </c>
    </row>
    <row r="11" customFormat="false" ht="15" hidden="false" customHeight="true" outlineLevel="0" collapsed="false">
      <c r="B11" s="32" t="s">
        <v>156</v>
      </c>
      <c r="C11" s="33" t="n">
        <f aca="false">SUM(C6:C10)</f>
        <v>10000000</v>
      </c>
      <c r="D11" s="33" t="n">
        <f aca="false">SUM(D6:D10)</f>
        <v>1262500</v>
      </c>
      <c r="E11" s="33" t="n">
        <f aca="false">SUM(E6:E10)</f>
        <v>1537500</v>
      </c>
      <c r="F11" s="33" t="n">
        <f aca="false">SUM(F6:F10)</f>
        <v>1712500</v>
      </c>
      <c r="G11" s="33" t="n">
        <f aca="false">SUM(G6:G10)</f>
        <v>1212500</v>
      </c>
      <c r="H11" s="33" t="n">
        <f aca="false">SUM(H6:H10)</f>
        <v>1212500</v>
      </c>
      <c r="I11" s="33" t="n">
        <f aca="false">SUM(I6:I10)</f>
        <v>1412500</v>
      </c>
      <c r="J11" s="33" t="n">
        <f aca="false">SUM(J6:J10)</f>
        <v>1062500</v>
      </c>
      <c r="K11" s="33" t="n">
        <f aca="false">SUM(K6:K10)</f>
        <v>587500</v>
      </c>
      <c r="L11" s="33" t="n">
        <f aca="false">SUM(L6:L10)</f>
        <v>10000000</v>
      </c>
    </row>
    <row r="12" customFormat="false" ht="15" hidden="false" customHeight="true" outlineLevel="0" collapsed="false">
      <c r="B12" s="7" t="s">
        <v>157</v>
      </c>
      <c r="D12" s="30" t="n">
        <f aca="false">SUM($D$11:D11)</f>
        <v>1262500</v>
      </c>
      <c r="E12" s="30" t="n">
        <f aca="false">SUM($D$11:E11)</f>
        <v>2800000</v>
      </c>
      <c r="F12" s="30" t="n">
        <f aca="false">SUM($D$11:F11)</f>
        <v>4512500</v>
      </c>
      <c r="G12" s="30" t="n">
        <f aca="false">SUM($D$11:G11)</f>
        <v>5725000</v>
      </c>
      <c r="H12" s="30" t="n">
        <f aca="false">SUM($D$11:H11)</f>
        <v>6937500</v>
      </c>
      <c r="I12" s="30" t="n">
        <f aca="false">SUM($D$11:I11)</f>
        <v>8350000</v>
      </c>
      <c r="J12" s="30" t="n">
        <f aca="false">SUM($D$11:J11)</f>
        <v>9412500</v>
      </c>
      <c r="K12" s="30" t="n">
        <f aca="false">SUM($D$11:K11)</f>
        <v>10000000</v>
      </c>
    </row>
    <row r="13" customFormat="false" ht="15" hidden="false" customHeight="true" outlineLevel="0" collapsed="false">
      <c r="B13" s="7" t="s">
        <v>158</v>
      </c>
      <c r="D13" s="23" t="n">
        <f aca="false">D12/01_Annahmen!$C$27</f>
        <v>0.12625</v>
      </c>
      <c r="E13" s="23" t="n">
        <f aca="false">E12/01_Annahmen!$C$27</f>
        <v>0.28</v>
      </c>
      <c r="F13" s="23" t="n">
        <f aca="false">F12/01_Annahmen!$C$27</f>
        <v>0.45125</v>
      </c>
      <c r="G13" s="23" t="n">
        <f aca="false">G12/01_Annahmen!$C$27</f>
        <v>0.5725</v>
      </c>
      <c r="H13" s="23" t="n">
        <f aca="false">H12/01_Annahmen!$C$27</f>
        <v>0.69375</v>
      </c>
      <c r="I13" s="23" t="n">
        <f aca="false">I12/01_Annahmen!$C$27</f>
        <v>0.835</v>
      </c>
      <c r="J13" s="23" t="n">
        <f aca="false">J12/01_Annahmen!$C$27</f>
        <v>0.94125</v>
      </c>
      <c r="K13" s="23" t="n">
        <f aca="false">K12/01_Annahmen!$C$27</f>
        <v>1</v>
      </c>
    </row>
    <row r="14" customFormat="false" ht="15" hidden="false" customHeight="true" outlineLevel="0" collapsed="false">
      <c r="B14" s="7" t="s">
        <v>159</v>
      </c>
      <c r="L14" s="30" t="n">
        <f aca="false">L11-C11</f>
        <v>0</v>
      </c>
    </row>
    <row r="15" customFormat="false" ht="15" hidden="false" customHeight="true" outlineLevel="0" collapsed="false"/>
    <row r="16" customFormat="false" ht="15" hidden="false" customHeight="true" outlineLevel="0" collapsed="false">
      <c r="B16" s="4" t="s">
        <v>160</v>
      </c>
    </row>
    <row r="17" customFormat="false" ht="21.75" hidden="false" customHeight="true" outlineLevel="0" collapsed="false">
      <c r="B17" s="13" t="s">
        <v>138</v>
      </c>
      <c r="C17" s="14"/>
      <c r="D17" s="14" t="s">
        <v>125</v>
      </c>
      <c r="E17" s="14" t="s">
        <v>126</v>
      </c>
      <c r="F17" s="14" t="s">
        <v>127</v>
      </c>
      <c r="G17" s="14" t="s">
        <v>132</v>
      </c>
    </row>
    <row r="18" customFormat="false" ht="15" hidden="false" customHeight="true" outlineLevel="0" collapsed="false">
      <c r="B18" s="7" t="s">
        <v>110</v>
      </c>
      <c r="D18" s="30" t="n">
        <f aca="false">D6</f>
        <v>525000</v>
      </c>
      <c r="E18" s="30" t="n">
        <f aca="false">SUM(E6:H6)</f>
        <v>2100000</v>
      </c>
      <c r="F18" s="30" t="n">
        <f aca="false">SUM(I6:K6)</f>
        <v>875000</v>
      </c>
      <c r="G18" s="35" t="n">
        <f aca="false">SUM(D18:F18)</f>
        <v>3500000</v>
      </c>
    </row>
    <row r="19" customFormat="false" ht="15" hidden="false" customHeight="true" outlineLevel="0" collapsed="false">
      <c r="B19" s="7" t="s">
        <v>113</v>
      </c>
      <c r="D19" s="30" t="n">
        <f aca="false">D7</f>
        <v>250000</v>
      </c>
      <c r="E19" s="30" t="n">
        <f aca="false">SUM(E7:H7)</f>
        <v>1375000</v>
      </c>
      <c r="F19" s="30" t="n">
        <f aca="false">SUM(I7:K7)</f>
        <v>875000</v>
      </c>
      <c r="G19" s="35" t="n">
        <f aca="false">SUM(D19:F19)</f>
        <v>2500000</v>
      </c>
    </row>
    <row r="20" customFormat="false" ht="15" hidden="false" customHeight="true" outlineLevel="0" collapsed="false">
      <c r="B20" s="7" t="s">
        <v>116</v>
      </c>
      <c r="D20" s="30" t="n">
        <f aca="false">D8</f>
        <v>200000</v>
      </c>
      <c r="E20" s="30" t="n">
        <f aca="false">SUM(E8:H8)</f>
        <v>1100000</v>
      </c>
      <c r="F20" s="30" t="n">
        <f aca="false">SUM(I8:K8)</f>
        <v>700000</v>
      </c>
      <c r="G20" s="35" t="n">
        <f aca="false">SUM(D20:F20)</f>
        <v>2000000</v>
      </c>
    </row>
    <row r="21" customFormat="false" ht="15.75" hidden="false" customHeight="true" outlineLevel="0" collapsed="false">
      <c r="B21" s="7" t="s">
        <v>118</v>
      </c>
      <c r="D21" s="30" t="n">
        <f aca="false">D9</f>
        <v>100000</v>
      </c>
      <c r="E21" s="30" t="n">
        <f aca="false">SUM(E9:H9)</f>
        <v>350000</v>
      </c>
      <c r="F21" s="30" t="n">
        <f aca="false">SUM(I9:K9)</f>
        <v>50000</v>
      </c>
      <c r="G21" s="35" t="n">
        <f aca="false">SUM(D21:F21)</f>
        <v>500000</v>
      </c>
    </row>
    <row r="22" customFormat="false" ht="15.75" hidden="false" customHeight="true" outlineLevel="0" collapsed="false">
      <c r="B22" s="7" t="s">
        <v>155</v>
      </c>
      <c r="D22" s="30" t="n">
        <f aca="false">D10</f>
        <v>187500</v>
      </c>
      <c r="E22" s="30" t="n">
        <f aca="false">SUM(E10:H10)</f>
        <v>750000</v>
      </c>
      <c r="F22" s="30" t="n">
        <f aca="false">SUM(I10:K10)</f>
        <v>562500</v>
      </c>
      <c r="G22" s="35" t="n">
        <f aca="false">SUM(D22:F22)</f>
        <v>1500000</v>
      </c>
    </row>
    <row r="23" customFormat="false" ht="15.75" hidden="false" customHeight="true" outlineLevel="0" collapsed="false">
      <c r="B23" s="32" t="s">
        <v>161</v>
      </c>
      <c r="C23" s="32"/>
      <c r="D23" s="33" t="n">
        <f aca="false">SUM(D18:D22)</f>
        <v>1262500</v>
      </c>
      <c r="E23" s="33" t="n">
        <f aca="false">SUM(E18:E22)</f>
        <v>5675000</v>
      </c>
      <c r="F23" s="33" t="n">
        <f aca="false">SUM(F18:F22)</f>
        <v>3062500</v>
      </c>
      <c r="G23" s="33" t="n">
        <f aca="false">SUM(G18:G22)</f>
        <v>10000000</v>
      </c>
    </row>
    <row r="24" customFormat="false" ht="15.75" hidden="false" customHeight="true" outlineLevel="0" collapsed="false"/>
    <row r="25" customFormat="false" ht="15.75" hidden="false" customHeight="true" outlineLevel="0" collapsed="false"/>
    <row r="26" customFormat="false" ht="15.75" hidden="false" customHeight="true" outlineLevel="0" collapsed="false">
      <c r="B26" s="4" t="s">
        <v>162</v>
      </c>
    </row>
    <row r="27" customFormat="false" ht="19.5" hidden="false" customHeight="true" outlineLevel="0" collapsed="false">
      <c r="B27" s="13" t="s">
        <v>163</v>
      </c>
      <c r="C27" s="14" t="s">
        <v>42</v>
      </c>
      <c r="D27" s="14" t="s">
        <v>43</v>
      </c>
    </row>
    <row r="28" customFormat="false" ht="15.75" hidden="false" customHeight="true" outlineLevel="0" collapsed="false">
      <c r="B28" s="5" t="s">
        <v>164</v>
      </c>
      <c r="C28" s="35" t="n">
        <f aca="false">01_Annahmen!C27</f>
        <v>10000000</v>
      </c>
      <c r="D28" s="7" t="s">
        <v>81</v>
      </c>
    </row>
    <row r="29" customFormat="false" ht="15.75" hidden="false" customHeight="true" outlineLevel="0" collapsed="false">
      <c r="B29" s="7" t="s">
        <v>165</v>
      </c>
      <c r="C29" s="30" t="n">
        <f aca="false">01_Annahmen!C25</f>
        <v>46101459</v>
      </c>
      <c r="D29" s="7" t="s">
        <v>81</v>
      </c>
    </row>
    <row r="30" customFormat="false" ht="15.75" hidden="false" customHeight="true" outlineLevel="0" collapsed="false">
      <c r="B30" s="5" t="s">
        <v>9</v>
      </c>
      <c r="C30" s="34" t="n">
        <f aca="false">C28/C29</f>
        <v>0.21691287470967</v>
      </c>
      <c r="D30" s="7" t="s">
        <v>52</v>
      </c>
    </row>
    <row r="31" customFormat="false" ht="15.75" hidden="false" customHeight="true" outlineLevel="0" collapsed="false">
      <c r="B31" s="7" t="s">
        <v>69</v>
      </c>
      <c r="C31" s="18" t="n">
        <f aca="false">01_Annahmen!C20</f>
        <v>0.0225</v>
      </c>
      <c r="D31" s="7" t="s">
        <v>52</v>
      </c>
    </row>
    <row r="32" customFormat="false" ht="15.75" hidden="false" customHeight="true" outlineLevel="0" collapsed="false">
      <c r="B32" s="7" t="s">
        <v>10</v>
      </c>
      <c r="C32" s="30" t="n">
        <f aca="false">SUM('04_DCF und Finanzierung'!E33:G33)</f>
        <v>297000</v>
      </c>
      <c r="D32" s="7" t="s">
        <v>81</v>
      </c>
    </row>
    <row r="33" customFormat="false" ht="15.75" hidden="false" customHeight="true" outlineLevel="0" collapsed="false">
      <c r="B33" s="7" t="s">
        <v>166</v>
      </c>
      <c r="C33" s="7" t="s">
        <v>167</v>
      </c>
      <c r="D33" s="7"/>
    </row>
    <row r="34" customFormat="false" ht="15.75" hidden="false" customHeight="true" outlineLevel="0" collapsed="false">
      <c r="B34" s="7" t="s">
        <v>11</v>
      </c>
      <c r="C34" s="7" t="s">
        <v>168</v>
      </c>
      <c r="D34" s="7"/>
    </row>
    <row r="35" customFormat="false" ht="15.75" hidden="false" customHeight="true" outlineLevel="0" collapsed="false"/>
    <row r="36" customFormat="false" ht="15.75" hidden="false" customHeight="true" outlineLevel="0" collapsed="false"/>
    <row r="37" customFormat="false" ht="15.75" hidden="false" customHeight="true" outlineLevel="0" collapsed="false"/>
    <row r="38" customFormat="false" ht="15.75" hidden="false" customHeight="true" outlineLevel="0" collapsed="false"/>
    <row r="39" customFormat="false" ht="15.75" hidden="false" customHeight="true" outlineLevel="0" collapsed="false"/>
    <row r="40" customFormat="false" ht="15.75" hidden="false" customHeight="true" outlineLevel="0" collapsed="false"/>
    <row r="41" customFormat="false" ht="15.75" hidden="false" customHeight="true" outlineLevel="0" collapsed="false"/>
    <row r="42" customFormat="false" ht="15.75" hidden="false" customHeight="true" outlineLevel="0" collapsed="false"/>
    <row r="43" customFormat="false" ht="15.75" hidden="false" customHeight="true" outlineLevel="0" collapsed="false"/>
    <row r="44" customFormat="false" ht="15.75" hidden="false" customHeight="true" outlineLevel="0" collapsed="false"/>
    <row r="45" customFormat="false" ht="15.75" hidden="false" customHeight="true" outlineLevel="0" collapsed="false"/>
    <row r="46" customFormat="false" ht="15.75" hidden="false" customHeight="true" outlineLevel="0" collapsed="false"/>
    <row r="47" customFormat="false" ht="15.75" hidden="false" customHeight="true" outlineLevel="0" collapsed="false"/>
    <row r="48" customFormat="false" ht="15.75" hidden="false" customHeight="true" outlineLevel="0" collapsed="false"/>
    <row r="49" customFormat="false" ht="15.75" hidden="false" customHeight="true" outlineLevel="0" collapsed="false"/>
    <row r="50" customFormat="false" ht="15.75" hidden="false" customHeight="true" outlineLevel="0" collapsed="false"/>
    <row r="51" customFormat="false" ht="15.75" hidden="false" customHeight="true" outlineLevel="0" collapsed="false"/>
    <row r="52" customFormat="false" ht="15.75" hidden="false" customHeight="true" outlineLevel="0" collapsed="false"/>
    <row r="53" customFormat="false" ht="15.75" hidden="false" customHeight="true" outlineLevel="0" collapsed="false"/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S100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4" ySplit="5" topLeftCell="E6" activePane="bottomRight" state="frozen"/>
      <selection pane="topLeft" activeCell="A1" activeCellId="0" sqref="A1"/>
      <selection pane="topRight" activeCell="E1" activeCellId="0" sqref="E1"/>
      <selection pane="bottomLeft" activeCell="A6" activeCellId="0" sqref="A6"/>
      <selection pane="bottomRight" activeCell="E6" activeCellId="0" sqref="E6"/>
    </sheetView>
  </sheetViews>
  <sheetFormatPr defaultColWidth="14.433593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34"/>
    <col collapsed="false" customWidth="true" hidden="false" outlineLevel="0" max="3" min="3" style="1" width="10"/>
    <col collapsed="false" customWidth="true" hidden="false" outlineLevel="0" max="4" min="4" style="1" width="14"/>
    <col collapsed="false" customWidth="true" hidden="false" outlineLevel="0" max="19" min="5" style="1" width="12"/>
    <col collapsed="false" customWidth="true" hidden="false" outlineLevel="0" max="26" min="20" style="1" width="8.71"/>
  </cols>
  <sheetData>
    <row r="1" customFormat="false" ht="15" hidden="false" customHeight="true" outlineLevel="0" collapsed="false"/>
    <row r="2" customFormat="false" ht="18" hidden="false" customHeight="true" outlineLevel="0" collapsed="false">
      <c r="B2" s="2" t="s">
        <v>169</v>
      </c>
    </row>
    <row r="3" customFormat="false" ht="15" hidden="false" customHeight="true" outlineLevel="0" collapsed="false">
      <c r="B3" s="3" t="s">
        <v>170</v>
      </c>
    </row>
    <row r="4" customFormat="false" ht="15" hidden="false" customHeight="true" outlineLevel="0" collapsed="false"/>
    <row r="5" customFormat="false" ht="21.75" hidden="false" customHeight="true" outlineLevel="0" collapsed="false">
      <c r="B5" s="13" t="s">
        <v>138</v>
      </c>
      <c r="C5" s="14" t="s">
        <v>89</v>
      </c>
      <c r="D5" s="14" t="s">
        <v>120</v>
      </c>
      <c r="E5" s="14" t="s">
        <v>125</v>
      </c>
      <c r="F5" s="14" t="s">
        <v>126</v>
      </c>
      <c r="G5" s="14" t="s">
        <v>127</v>
      </c>
      <c r="H5" s="14" t="s">
        <v>128</v>
      </c>
      <c r="I5" s="14" t="s">
        <v>129</v>
      </c>
      <c r="J5" s="14" t="s">
        <v>130</v>
      </c>
      <c r="K5" s="14" t="s">
        <v>131</v>
      </c>
      <c r="L5" s="14" t="s">
        <v>171</v>
      </c>
      <c r="M5" s="14" t="s">
        <v>172</v>
      </c>
      <c r="N5" s="14" t="s">
        <v>173</v>
      </c>
      <c r="O5" s="14" t="s">
        <v>174</v>
      </c>
      <c r="P5" s="14" t="s">
        <v>175</v>
      </c>
      <c r="Q5" s="14" t="s">
        <v>176</v>
      </c>
      <c r="R5" s="14" t="s">
        <v>177</v>
      </c>
      <c r="S5" s="14" t="s">
        <v>178</v>
      </c>
    </row>
    <row r="6" customFormat="false" ht="15" hidden="false" customHeight="true" outlineLevel="0" collapsed="false">
      <c r="B6" s="7" t="s">
        <v>179</v>
      </c>
      <c r="C6" s="7" t="s">
        <v>110</v>
      </c>
      <c r="D6" s="35" t="n">
        <f aca="false">SUM(E6:S6)</f>
        <v>3500000</v>
      </c>
      <c r="E6" s="30" t="n">
        <f aca="false">'02_Schritt 1 Planungskredit'!D18</f>
        <v>525000</v>
      </c>
      <c r="F6" s="30" t="n">
        <f aca="false">'02_Schritt 1 Planungskredit'!E18</f>
        <v>2100000</v>
      </c>
      <c r="G6" s="30" t="n">
        <f aca="false">'02_Schritt 1 Planungskredit'!F18</f>
        <v>875000</v>
      </c>
      <c r="H6" s="30" t="n">
        <v>0</v>
      </c>
      <c r="I6" s="30" t="n">
        <v>0</v>
      </c>
      <c r="J6" s="30" t="n">
        <v>0</v>
      </c>
      <c r="K6" s="30" t="n">
        <v>0</v>
      </c>
      <c r="L6" s="30" t="n">
        <v>0</v>
      </c>
      <c r="M6" s="30" t="n">
        <v>0</v>
      </c>
      <c r="N6" s="30" t="n">
        <v>0</v>
      </c>
      <c r="O6" s="30" t="n">
        <v>0</v>
      </c>
      <c r="P6" s="30" t="n">
        <v>0</v>
      </c>
      <c r="Q6" s="30" t="n">
        <v>0</v>
      </c>
      <c r="R6" s="30" t="n">
        <v>0</v>
      </c>
      <c r="S6" s="30" t="n">
        <v>0</v>
      </c>
    </row>
    <row r="7" customFormat="false" ht="15" hidden="false" customHeight="true" outlineLevel="0" collapsed="false">
      <c r="B7" s="7" t="s">
        <v>180</v>
      </c>
      <c r="C7" s="7" t="s">
        <v>110</v>
      </c>
      <c r="D7" s="35" t="n">
        <f aca="false">SUM(E7:S7)</f>
        <v>19200000</v>
      </c>
      <c r="E7" s="30" t="n">
        <f aca="false">(01_Annahmen!$E$30-01_Annahmen!$F$30)*01_Annahmen!D40</f>
        <v>0</v>
      </c>
      <c r="F7" s="30" t="n">
        <f aca="false">(01_Annahmen!$E$30-01_Annahmen!$F$30)*01_Annahmen!E40</f>
        <v>0</v>
      </c>
      <c r="G7" s="30" t="n">
        <f aca="false">(01_Annahmen!$E$30-01_Annahmen!$F$30)*01_Annahmen!F40</f>
        <v>17280000</v>
      </c>
      <c r="H7" s="30" t="n">
        <f aca="false">(01_Annahmen!$E$30-01_Annahmen!$F$30)*01_Annahmen!G40</f>
        <v>1920000</v>
      </c>
      <c r="I7" s="30" t="n">
        <f aca="false">(01_Annahmen!$E$30-01_Annahmen!$F$30)*01_Annahmen!H40</f>
        <v>0</v>
      </c>
      <c r="J7" s="30" t="n">
        <f aca="false">(01_Annahmen!$E$30-01_Annahmen!$F$30)*01_Annahmen!I40</f>
        <v>0</v>
      </c>
      <c r="K7" s="30" t="n">
        <f aca="false">(01_Annahmen!$E$30-01_Annahmen!$F$30)*01_Annahmen!J40</f>
        <v>0</v>
      </c>
      <c r="L7" s="30" t="n">
        <v>0</v>
      </c>
      <c r="M7" s="30" t="n">
        <v>0</v>
      </c>
      <c r="N7" s="30" t="n">
        <v>0</v>
      </c>
      <c r="O7" s="30" t="n">
        <v>0</v>
      </c>
      <c r="P7" s="30" t="n">
        <v>0</v>
      </c>
      <c r="Q7" s="30" t="n">
        <v>0</v>
      </c>
      <c r="R7" s="30" t="n">
        <v>0</v>
      </c>
      <c r="S7" s="30" t="n">
        <v>0</v>
      </c>
    </row>
    <row r="8" customFormat="false" ht="15" hidden="false" customHeight="true" outlineLevel="0" collapsed="false">
      <c r="B8" s="7" t="s">
        <v>179</v>
      </c>
      <c r="C8" s="7" t="s">
        <v>113</v>
      </c>
      <c r="D8" s="35" t="n">
        <f aca="false">SUM(E8:S8)</f>
        <v>2500000</v>
      </c>
      <c r="E8" s="30" t="n">
        <f aca="false">'02_Schritt 1 Planungskredit'!D19</f>
        <v>250000</v>
      </c>
      <c r="F8" s="30" t="n">
        <f aca="false">'02_Schritt 1 Planungskredit'!E19</f>
        <v>1375000</v>
      </c>
      <c r="G8" s="30" t="n">
        <f aca="false">'02_Schritt 1 Planungskredit'!F19</f>
        <v>875000</v>
      </c>
      <c r="H8" s="30" t="n">
        <v>0</v>
      </c>
      <c r="I8" s="30" t="n">
        <v>0</v>
      </c>
      <c r="J8" s="30" t="n">
        <v>0</v>
      </c>
      <c r="K8" s="30" t="n">
        <v>0</v>
      </c>
      <c r="L8" s="30" t="n">
        <v>0</v>
      </c>
      <c r="M8" s="30" t="n">
        <v>0</v>
      </c>
      <c r="N8" s="30" t="n">
        <v>0</v>
      </c>
      <c r="O8" s="30" t="n">
        <v>0</v>
      </c>
      <c r="P8" s="30" t="n">
        <v>0</v>
      </c>
      <c r="Q8" s="30" t="n">
        <v>0</v>
      </c>
      <c r="R8" s="30" t="n">
        <v>0</v>
      </c>
      <c r="S8" s="30" t="n">
        <v>0</v>
      </c>
    </row>
    <row r="9" customFormat="false" ht="15" hidden="false" customHeight="true" outlineLevel="0" collapsed="false">
      <c r="B9" s="7" t="s">
        <v>180</v>
      </c>
      <c r="C9" s="7" t="s">
        <v>113</v>
      </c>
      <c r="D9" s="35" t="n">
        <f aca="false">SUM(E9:S9)</f>
        <v>21342123</v>
      </c>
      <c r="E9" s="30" t="n">
        <f aca="false">(01_Annahmen!$E$31-01_Annahmen!$F$31)*01_Annahmen!D41</f>
        <v>0</v>
      </c>
      <c r="F9" s="30" t="n">
        <f aca="false">(01_Annahmen!$E$31-01_Annahmen!$F$31)*01_Annahmen!E41</f>
        <v>0</v>
      </c>
      <c r="G9" s="30" t="n">
        <f aca="false">(01_Annahmen!$E$31-01_Annahmen!$F$31)*01_Annahmen!F41</f>
        <v>8536849.2</v>
      </c>
      <c r="H9" s="30" t="n">
        <f aca="false">(01_Annahmen!$E$31-01_Annahmen!$F$31)*01_Annahmen!G41</f>
        <v>12805273.8</v>
      </c>
      <c r="I9" s="30" t="n">
        <f aca="false">(01_Annahmen!$E$31-01_Annahmen!$F$31)*01_Annahmen!H41</f>
        <v>0</v>
      </c>
      <c r="J9" s="30" t="n">
        <f aca="false">(01_Annahmen!$E$31-01_Annahmen!$F$31)*01_Annahmen!I41</f>
        <v>0</v>
      </c>
      <c r="K9" s="30" t="n">
        <f aca="false">(01_Annahmen!$E$31-01_Annahmen!$F$31)*01_Annahmen!J41</f>
        <v>0</v>
      </c>
      <c r="L9" s="30" t="n">
        <v>0</v>
      </c>
      <c r="M9" s="30" t="n">
        <v>0</v>
      </c>
      <c r="N9" s="30" t="n">
        <v>0</v>
      </c>
      <c r="O9" s="30" t="n">
        <v>0</v>
      </c>
      <c r="P9" s="30" t="n">
        <v>0</v>
      </c>
      <c r="Q9" s="30" t="n">
        <v>0</v>
      </c>
      <c r="R9" s="30" t="n">
        <v>0</v>
      </c>
      <c r="S9" s="30" t="n">
        <v>0</v>
      </c>
    </row>
    <row r="10" customFormat="false" ht="15" hidden="false" customHeight="true" outlineLevel="0" collapsed="false">
      <c r="B10" s="7" t="s">
        <v>179</v>
      </c>
      <c r="C10" s="7" t="s">
        <v>116</v>
      </c>
      <c r="D10" s="35" t="n">
        <f aca="false">SUM(E10:S10)</f>
        <v>2000000</v>
      </c>
      <c r="E10" s="30" t="n">
        <f aca="false">'02_Schritt 1 Planungskredit'!D20</f>
        <v>200000</v>
      </c>
      <c r="F10" s="30" t="n">
        <f aca="false">'02_Schritt 1 Planungskredit'!E20</f>
        <v>1100000</v>
      </c>
      <c r="G10" s="30" t="n">
        <f aca="false">'02_Schritt 1 Planungskredit'!F20</f>
        <v>700000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0" t="n">
        <v>0</v>
      </c>
      <c r="S10" s="30" t="n">
        <v>0</v>
      </c>
    </row>
    <row r="11" customFormat="false" ht="15" hidden="false" customHeight="true" outlineLevel="0" collapsed="false">
      <c r="B11" s="7" t="s">
        <v>180</v>
      </c>
      <c r="C11" s="7" t="s">
        <v>116</v>
      </c>
      <c r="D11" s="35" t="n">
        <f aca="false">SUM(E11:S11)</f>
        <v>25263728</v>
      </c>
      <c r="E11" s="30" t="n">
        <f aca="false">(01_Annahmen!$E$32-01_Annahmen!$F$32)*01_Annahmen!D42</f>
        <v>0</v>
      </c>
      <c r="F11" s="30" t="n">
        <f aca="false">(01_Annahmen!$E$32-01_Annahmen!$F$32)*01_Annahmen!E42</f>
        <v>0</v>
      </c>
      <c r="G11" s="30" t="n">
        <f aca="false">(01_Annahmen!$E$32-01_Annahmen!$F$32)*01_Annahmen!F42</f>
        <v>8842304.8</v>
      </c>
      <c r="H11" s="30" t="n">
        <f aca="false">(01_Annahmen!$E$32-01_Annahmen!$F$32)*01_Annahmen!G42</f>
        <v>13895050.4</v>
      </c>
      <c r="I11" s="30" t="n">
        <f aca="false">(01_Annahmen!$E$32-01_Annahmen!$F$32)*01_Annahmen!H42</f>
        <v>2526372.8</v>
      </c>
      <c r="J11" s="30" t="n">
        <f aca="false">(01_Annahmen!$E$32-01_Annahmen!$F$32)*01_Annahmen!I42</f>
        <v>0</v>
      </c>
      <c r="K11" s="30" t="n">
        <f aca="false">(01_Annahmen!$E$32-01_Annahmen!$F$32)*01_Annahmen!J42</f>
        <v>0</v>
      </c>
      <c r="L11" s="30" t="n">
        <v>0</v>
      </c>
      <c r="M11" s="30" t="n">
        <v>0</v>
      </c>
      <c r="N11" s="30" t="n">
        <v>0</v>
      </c>
      <c r="O11" s="30" t="n">
        <v>0</v>
      </c>
      <c r="P11" s="30" t="n">
        <v>0</v>
      </c>
      <c r="Q11" s="30" t="n">
        <v>0</v>
      </c>
      <c r="R11" s="30" t="n">
        <v>0</v>
      </c>
      <c r="S11" s="30" t="n">
        <v>0</v>
      </c>
    </row>
    <row r="12" customFormat="false" ht="15" hidden="false" customHeight="true" outlineLevel="0" collapsed="false">
      <c r="B12" s="7" t="s">
        <v>179</v>
      </c>
      <c r="C12" s="7" t="s">
        <v>118</v>
      </c>
      <c r="D12" s="35" t="n">
        <f aca="false">SUM(E12:S12)</f>
        <v>500000</v>
      </c>
      <c r="E12" s="30" t="n">
        <f aca="false">'02_Schritt 1 Planungskredit'!D21</f>
        <v>100000</v>
      </c>
      <c r="F12" s="30" t="n">
        <f aca="false">'02_Schritt 1 Planungskredit'!E21</f>
        <v>350000</v>
      </c>
      <c r="G12" s="30" t="n">
        <f aca="false">'02_Schritt 1 Planungskredit'!F21</f>
        <v>50000</v>
      </c>
      <c r="H12" s="30" t="n">
        <v>0</v>
      </c>
      <c r="I12" s="30" t="n">
        <v>0</v>
      </c>
      <c r="J12" s="30" t="n">
        <v>0</v>
      </c>
      <c r="K12" s="30" t="n">
        <v>0</v>
      </c>
      <c r="L12" s="30" t="n">
        <v>0</v>
      </c>
      <c r="M12" s="30" t="n">
        <v>0</v>
      </c>
      <c r="N12" s="30" t="n">
        <v>0</v>
      </c>
      <c r="O12" s="30" t="n">
        <v>0</v>
      </c>
      <c r="P12" s="30" t="n">
        <v>0</v>
      </c>
      <c r="Q12" s="30" t="n">
        <v>0</v>
      </c>
      <c r="R12" s="30" t="n">
        <v>0</v>
      </c>
      <c r="S12" s="30" t="n">
        <v>0</v>
      </c>
    </row>
    <row r="13" customFormat="false" ht="15" hidden="false" customHeight="true" outlineLevel="0" collapsed="false">
      <c r="B13" s="7" t="s">
        <v>180</v>
      </c>
      <c r="C13" s="7" t="s">
        <v>118</v>
      </c>
      <c r="D13" s="35" t="n">
        <f aca="false">SUM(E13:S13)</f>
        <v>38082833</v>
      </c>
      <c r="E13" s="30" t="n">
        <f aca="false">(01_Annahmen!$E$33-01_Annahmen!$F$33)*01_Annahmen!D43</f>
        <v>0</v>
      </c>
      <c r="F13" s="30" t="n">
        <f aca="false">(01_Annahmen!$E$33-01_Annahmen!$F$33)*01_Annahmen!E43</f>
        <v>0</v>
      </c>
      <c r="G13" s="30" t="n">
        <f aca="false">(01_Annahmen!$E$33-01_Annahmen!$F$33)*01_Annahmen!F43</f>
        <v>0</v>
      </c>
      <c r="H13" s="30" t="n">
        <f aca="false">(01_Annahmen!$E$33-01_Annahmen!$F$33)*01_Annahmen!G43</f>
        <v>0</v>
      </c>
      <c r="I13" s="30" t="n">
        <f aca="false">(01_Annahmen!$E$33-01_Annahmen!$F$33)*01_Annahmen!H43</f>
        <v>19041416.5</v>
      </c>
      <c r="J13" s="30" t="n">
        <f aca="false">(01_Annahmen!$E$33-01_Annahmen!$F$33)*01_Annahmen!I43</f>
        <v>19041416.5</v>
      </c>
      <c r="K13" s="30" t="n">
        <f aca="false">(01_Annahmen!$E$33-01_Annahmen!$F$33)*01_Annahmen!J43</f>
        <v>0</v>
      </c>
      <c r="L13" s="30" t="n">
        <v>0</v>
      </c>
      <c r="M13" s="30" t="n">
        <v>0</v>
      </c>
      <c r="N13" s="30" t="n">
        <v>0</v>
      </c>
      <c r="O13" s="30" t="n">
        <v>0</v>
      </c>
      <c r="P13" s="30" t="n">
        <v>0</v>
      </c>
      <c r="Q13" s="30" t="n">
        <v>0</v>
      </c>
      <c r="R13" s="30" t="n">
        <v>0</v>
      </c>
      <c r="S13" s="30" t="n">
        <v>0</v>
      </c>
    </row>
    <row r="14" customFormat="false" ht="15" hidden="false" customHeight="true" outlineLevel="0" collapsed="false">
      <c r="B14" s="7" t="s">
        <v>181</v>
      </c>
      <c r="C14" s="7" t="s">
        <v>118</v>
      </c>
      <c r="D14" s="35" t="n">
        <f aca="false">SUM(E14:S14)</f>
        <v>7000000</v>
      </c>
      <c r="E14" s="30" t="n">
        <v>0</v>
      </c>
      <c r="F14" s="30" t="n">
        <f aca="false">01_Annahmen!$G$33*01_Annahmen!D47</f>
        <v>700000</v>
      </c>
      <c r="G14" s="30" t="n">
        <f aca="false">01_Annahmen!$G$33*01_Annahmen!E47</f>
        <v>1400000</v>
      </c>
      <c r="H14" s="30" t="n">
        <f aca="false">01_Annahmen!$G$33*01_Annahmen!F47</f>
        <v>2100000</v>
      </c>
      <c r="I14" s="30" t="n">
        <f aca="false">01_Annahmen!$G$33*01_Annahmen!G47</f>
        <v>2100000</v>
      </c>
      <c r="J14" s="30" t="n">
        <f aca="false">01_Annahmen!$G$33*01_Annahmen!H47</f>
        <v>700000</v>
      </c>
      <c r="K14" s="30" t="n">
        <v>0</v>
      </c>
      <c r="L14" s="30" t="n">
        <v>0</v>
      </c>
      <c r="M14" s="30" t="n">
        <v>0</v>
      </c>
      <c r="N14" s="30" t="n">
        <v>0</v>
      </c>
      <c r="O14" s="30" t="n">
        <v>0</v>
      </c>
      <c r="P14" s="30" t="n">
        <v>0</v>
      </c>
      <c r="Q14" s="30" t="n">
        <v>0</v>
      </c>
      <c r="R14" s="30" t="n">
        <v>0</v>
      </c>
      <c r="S14" s="30" t="n">
        <v>0</v>
      </c>
    </row>
    <row r="15" customFormat="false" ht="15" hidden="false" customHeight="true" outlineLevel="0" collapsed="false">
      <c r="B15" s="7" t="s">
        <v>83</v>
      </c>
      <c r="C15" s="7" t="s">
        <v>182</v>
      </c>
      <c r="D15" s="35" t="n">
        <f aca="false">SUM(E15:S15)</f>
        <v>1500000</v>
      </c>
      <c r="E15" s="30" t="n">
        <f aca="false">'02_Schritt 1 Planungskredit'!D22</f>
        <v>187500</v>
      </c>
      <c r="F15" s="30" t="n">
        <f aca="false">'02_Schritt 1 Planungskredit'!E22</f>
        <v>750000</v>
      </c>
      <c r="G15" s="30" t="n">
        <f aca="false">'02_Schritt 1 Planungskredit'!F22</f>
        <v>562500</v>
      </c>
      <c r="H15" s="30" t="n">
        <v>0</v>
      </c>
      <c r="I15" s="30" t="n">
        <v>0</v>
      </c>
      <c r="J15" s="30" t="n">
        <v>0</v>
      </c>
      <c r="K15" s="30" t="n">
        <v>0</v>
      </c>
      <c r="L15" s="30" t="n">
        <v>0</v>
      </c>
      <c r="M15" s="30" t="n">
        <v>0</v>
      </c>
      <c r="N15" s="30" t="n">
        <v>0</v>
      </c>
      <c r="O15" s="30" t="n">
        <v>0</v>
      </c>
      <c r="P15" s="30" t="n">
        <v>0</v>
      </c>
      <c r="Q15" s="30" t="n">
        <v>0</v>
      </c>
      <c r="R15" s="30" t="n">
        <v>0</v>
      </c>
      <c r="S15" s="30" t="n">
        <v>0</v>
      </c>
    </row>
    <row r="16" customFormat="false" ht="15" hidden="false" customHeight="true" outlineLevel="0" collapsed="false">
      <c r="B16" s="32" t="s">
        <v>183</v>
      </c>
      <c r="C16" s="32"/>
      <c r="D16" s="33" t="n">
        <f aca="false">SUM(D6:D15)</f>
        <v>120888684</v>
      </c>
      <c r="E16" s="33" t="n">
        <f aca="false">SUM(E6:E15)</f>
        <v>1262500</v>
      </c>
      <c r="F16" s="33" t="n">
        <f aca="false">SUM(F6:F15)</f>
        <v>6375000</v>
      </c>
      <c r="G16" s="33" t="n">
        <f aca="false">SUM(G6:G15)</f>
        <v>39121654</v>
      </c>
      <c r="H16" s="33" t="n">
        <f aca="false">SUM(H6:H15)</f>
        <v>30720324.2</v>
      </c>
      <c r="I16" s="33" t="n">
        <f aca="false">SUM(I6:I15)</f>
        <v>23667789.3</v>
      </c>
      <c r="J16" s="33" t="n">
        <f aca="false">SUM(J6:J15)</f>
        <v>19741416.5</v>
      </c>
      <c r="K16" s="33" t="n">
        <f aca="false">SUM(K6:K15)</f>
        <v>0</v>
      </c>
      <c r="L16" s="33" t="n">
        <f aca="false">SUM(L6:L15)</f>
        <v>0</v>
      </c>
      <c r="M16" s="33" t="n">
        <f aca="false">SUM(M6:M15)</f>
        <v>0</v>
      </c>
      <c r="N16" s="33" t="n">
        <f aca="false">SUM(N6:N15)</f>
        <v>0</v>
      </c>
      <c r="O16" s="33" t="n">
        <f aca="false">SUM(O6:O15)</f>
        <v>0</v>
      </c>
      <c r="P16" s="33" t="n">
        <f aca="false">SUM(P6:P15)</f>
        <v>0</v>
      </c>
      <c r="Q16" s="33" t="n">
        <f aca="false">SUM(Q6:Q15)</f>
        <v>0</v>
      </c>
      <c r="R16" s="33" t="n">
        <f aca="false">SUM(R6:R15)</f>
        <v>0</v>
      </c>
      <c r="S16" s="33" t="n">
        <f aca="false">SUM(S6:S15)</f>
        <v>0</v>
      </c>
    </row>
    <row r="17" customFormat="false" ht="15" hidden="false" customHeight="true" outlineLevel="0" collapsed="false">
      <c r="B17" s="7" t="s">
        <v>184</v>
      </c>
      <c r="D17" s="30" t="n">
        <f aca="false">D6+D8+D10+D12+D15</f>
        <v>10000000</v>
      </c>
      <c r="E17" s="30" t="n">
        <f aca="false">E6+E8+E10+E12+E15</f>
        <v>1262500</v>
      </c>
      <c r="F17" s="30" t="n">
        <f aca="false">F6+F8+F10+F12+F15</f>
        <v>5675000</v>
      </c>
      <c r="G17" s="30" t="n">
        <f aca="false">G6+G8+G10+G12+G15</f>
        <v>3062500</v>
      </c>
      <c r="H17" s="30" t="n">
        <f aca="false">H6+H8+H10+H12+H15</f>
        <v>0</v>
      </c>
      <c r="I17" s="30" t="n">
        <f aca="false">I6+I8+I10+I12+I15</f>
        <v>0</v>
      </c>
      <c r="J17" s="30" t="n">
        <f aca="false">J6+J8+J10+J12+J15</f>
        <v>0</v>
      </c>
      <c r="K17" s="30" t="n">
        <f aca="false">K6+K8+K10+K12+K15</f>
        <v>0</v>
      </c>
      <c r="L17" s="30" t="n">
        <f aca="false">L6+L8+L10+L12+L15</f>
        <v>0</v>
      </c>
      <c r="M17" s="30" t="n">
        <f aca="false">M6+M8+M10+M12+M15</f>
        <v>0</v>
      </c>
      <c r="N17" s="30" t="n">
        <f aca="false">N6+N8+N10+N12+N15</f>
        <v>0</v>
      </c>
      <c r="O17" s="30" t="n">
        <f aca="false">O6+O8+O10+O12+O15</f>
        <v>0</v>
      </c>
      <c r="P17" s="30" t="n">
        <f aca="false">P6+P8+P10+P12+P15</f>
        <v>0</v>
      </c>
      <c r="Q17" s="30" t="n">
        <f aca="false">Q6+Q8+Q10+Q12+Q15</f>
        <v>0</v>
      </c>
      <c r="R17" s="30" t="n">
        <f aca="false">R6+R8+R10+R12+R15</f>
        <v>0</v>
      </c>
      <c r="S17" s="30" t="n">
        <f aca="false">S6+S8+S10+S12+S15</f>
        <v>0</v>
      </c>
    </row>
    <row r="18" customFormat="false" ht="15" hidden="false" customHeight="true" outlineLevel="0" collapsed="false">
      <c r="B18" s="7" t="s">
        <v>185</v>
      </c>
      <c r="C18" s="7" t="s">
        <v>182</v>
      </c>
      <c r="D18" s="35" t="n">
        <f aca="false">SUM(E18:S18)</f>
        <v>46101459</v>
      </c>
      <c r="E18" s="30" t="n">
        <f aca="false">01_Annahmen!$C$25</f>
        <v>46101459</v>
      </c>
      <c r="F18" s="30" t="n">
        <v>0</v>
      </c>
      <c r="G18" s="30" t="n">
        <v>0</v>
      </c>
      <c r="H18" s="30" t="n">
        <v>0</v>
      </c>
      <c r="I18" s="30" t="n">
        <v>0</v>
      </c>
      <c r="J18" s="30" t="n">
        <v>0</v>
      </c>
      <c r="K18" s="30" t="n">
        <v>0</v>
      </c>
      <c r="L18" s="30" t="n">
        <v>0</v>
      </c>
      <c r="M18" s="30" t="n">
        <v>0</v>
      </c>
      <c r="N18" s="30" t="n">
        <v>0</v>
      </c>
      <c r="O18" s="30" t="n">
        <v>0</v>
      </c>
      <c r="P18" s="30" t="n">
        <v>0</v>
      </c>
      <c r="Q18" s="30" t="n">
        <v>0</v>
      </c>
      <c r="R18" s="30" t="n">
        <v>0</v>
      </c>
      <c r="S18" s="30" t="n">
        <v>0</v>
      </c>
    </row>
    <row r="19" customFormat="false" ht="15" hidden="false" customHeight="true" outlineLevel="0" collapsed="false">
      <c r="B19" s="32" t="s">
        <v>186</v>
      </c>
      <c r="C19" s="32"/>
      <c r="D19" s="33" t="n">
        <f aca="false">D16+D18</f>
        <v>166990143</v>
      </c>
      <c r="E19" s="33" t="n">
        <f aca="false">E16+E18</f>
        <v>47363959</v>
      </c>
      <c r="F19" s="33" t="n">
        <f aca="false">F16+F18</f>
        <v>6375000</v>
      </c>
      <c r="G19" s="33" t="n">
        <f aca="false">G16+G18</f>
        <v>39121654</v>
      </c>
      <c r="H19" s="33" t="n">
        <f aca="false">H16+H18</f>
        <v>30720324.2</v>
      </c>
      <c r="I19" s="33" t="n">
        <f aca="false">I16+I18</f>
        <v>23667789.3</v>
      </c>
      <c r="J19" s="33" t="n">
        <f aca="false">J16+J18</f>
        <v>19741416.5</v>
      </c>
      <c r="K19" s="33" t="n">
        <f aca="false">K16+K18</f>
        <v>0</v>
      </c>
      <c r="L19" s="33" t="n">
        <f aca="false">L16+L18</f>
        <v>0</v>
      </c>
      <c r="M19" s="33" t="n">
        <f aca="false">M16+M18</f>
        <v>0</v>
      </c>
      <c r="N19" s="33" t="n">
        <f aca="false">N16+N18</f>
        <v>0</v>
      </c>
      <c r="O19" s="33" t="n">
        <f aca="false">O16+O18</f>
        <v>0</v>
      </c>
      <c r="P19" s="33" t="n">
        <f aca="false">P16+P18</f>
        <v>0</v>
      </c>
      <c r="Q19" s="33" t="n">
        <f aca="false">Q16+Q18</f>
        <v>0</v>
      </c>
      <c r="R19" s="33" t="n">
        <f aca="false">R16+R18</f>
        <v>0</v>
      </c>
      <c r="S19" s="33" t="n">
        <f aca="false">S16+S18</f>
        <v>0</v>
      </c>
    </row>
    <row r="21" customFormat="false" ht="15.75" hidden="false" customHeight="true" outlineLevel="0" collapsed="false"/>
    <row r="22" customFormat="false" ht="15.75" hidden="false" customHeight="true" outlineLevel="0" collapsed="false"/>
    <row r="23" customFormat="false" ht="15.75" hidden="false" customHeight="true" outlineLevel="0" collapsed="false"/>
    <row r="24" customFormat="false" ht="15.75" hidden="false" customHeight="true" outlineLevel="0" collapsed="false"/>
    <row r="25" customFormat="false" ht="15.75" hidden="false" customHeight="true" outlineLevel="0" collapsed="false"/>
    <row r="26" customFormat="false" ht="15.75" hidden="false" customHeight="true" outlineLevel="0" collapsed="false"/>
    <row r="27" customFormat="false" ht="15.75" hidden="false" customHeight="true" outlineLevel="0" collapsed="false"/>
    <row r="28" customFormat="false" ht="15.75" hidden="false" customHeight="true" outlineLevel="0" collapsed="false"/>
    <row r="29" customFormat="false" ht="15.75" hidden="false" customHeight="true" outlineLevel="0" collapsed="false"/>
    <row r="30" customFormat="false" ht="15.75" hidden="false" customHeight="true" outlineLevel="0" collapsed="false"/>
    <row r="31" customFormat="false" ht="15.75" hidden="false" customHeight="true" outlineLevel="0" collapsed="false"/>
    <row r="32" customFormat="false" ht="15.75" hidden="false" customHeight="true" outlineLevel="0" collapsed="false"/>
    <row r="33" customFormat="false" ht="15.75" hidden="false" customHeight="true" outlineLevel="0" collapsed="false"/>
    <row r="34" customFormat="false" ht="15.75" hidden="false" customHeight="true" outlineLevel="0" collapsed="false"/>
    <row r="35" customFormat="false" ht="15.75" hidden="false" customHeight="true" outlineLevel="0" collapsed="false"/>
    <row r="36" customFormat="false" ht="15.75" hidden="false" customHeight="true" outlineLevel="0" collapsed="false"/>
    <row r="37" customFormat="false" ht="15.75" hidden="false" customHeight="true" outlineLevel="0" collapsed="false"/>
    <row r="38" customFormat="false" ht="15.75" hidden="false" customHeight="true" outlineLevel="0" collapsed="false"/>
    <row r="39" customFormat="false" ht="15.75" hidden="false" customHeight="true" outlineLevel="0" collapsed="false"/>
    <row r="40" customFormat="false" ht="15.75" hidden="false" customHeight="true" outlineLevel="0" collapsed="false"/>
    <row r="41" customFormat="false" ht="15.75" hidden="false" customHeight="true" outlineLevel="0" collapsed="false"/>
    <row r="42" customFormat="false" ht="15.75" hidden="false" customHeight="true" outlineLevel="0" collapsed="false"/>
    <row r="43" customFormat="false" ht="15.75" hidden="false" customHeight="true" outlineLevel="0" collapsed="false"/>
    <row r="44" customFormat="false" ht="15.75" hidden="false" customHeight="true" outlineLevel="0" collapsed="false"/>
    <row r="45" customFormat="false" ht="15.75" hidden="false" customHeight="true" outlineLevel="0" collapsed="false"/>
    <row r="46" customFormat="false" ht="15.75" hidden="false" customHeight="true" outlineLevel="0" collapsed="false"/>
    <row r="47" customFormat="false" ht="15.75" hidden="false" customHeight="true" outlineLevel="0" collapsed="false"/>
    <row r="48" customFormat="false" ht="15.75" hidden="false" customHeight="true" outlineLevel="0" collapsed="false"/>
    <row r="49" customFormat="false" ht="15.75" hidden="false" customHeight="true" outlineLevel="0" collapsed="false"/>
    <row r="50" customFormat="false" ht="15.75" hidden="false" customHeight="true" outlineLevel="0" collapsed="false"/>
    <row r="51" customFormat="false" ht="15.75" hidden="false" customHeight="true" outlineLevel="0" collapsed="false"/>
    <row r="52" customFormat="false" ht="15.75" hidden="false" customHeight="true" outlineLevel="0" collapsed="false"/>
    <row r="53" customFormat="false" ht="15.75" hidden="false" customHeight="true" outlineLevel="0" collapsed="false"/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S100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4" ySplit="6" topLeftCell="E7" activePane="bottomRight" state="frozen"/>
      <selection pane="topLeft" activeCell="A1" activeCellId="0" sqref="A1"/>
      <selection pane="topRight" activeCell="E1" activeCellId="0" sqref="E1"/>
      <selection pane="bottomLeft" activeCell="A7" activeCellId="0" sqref="A7"/>
      <selection pane="bottomRight" activeCell="E7" activeCellId="0" sqref="E7"/>
    </sheetView>
  </sheetViews>
  <sheetFormatPr defaultColWidth="14.433593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58"/>
    <col collapsed="false" customWidth="true" hidden="false" outlineLevel="0" max="4" min="3" style="1" width="16"/>
    <col collapsed="false" customWidth="true" hidden="false" outlineLevel="0" max="19" min="5" style="1" width="12"/>
    <col collapsed="false" customWidth="true" hidden="false" outlineLevel="0" max="26" min="20" style="1" width="8.71"/>
  </cols>
  <sheetData>
    <row r="1" customFormat="false" ht="15" hidden="false" customHeight="true" outlineLevel="0" collapsed="false"/>
    <row r="2" customFormat="false" ht="18" hidden="false" customHeight="true" outlineLevel="0" collapsed="false">
      <c r="B2" s="2" t="s">
        <v>187</v>
      </c>
    </row>
    <row r="3" customFormat="false" ht="15" hidden="false" customHeight="true" outlineLevel="0" collapsed="false">
      <c r="B3" s="3" t="s">
        <v>188</v>
      </c>
    </row>
    <row r="4" customFormat="false" ht="15" hidden="false" customHeight="true" outlineLevel="0" collapsed="false"/>
    <row r="5" customFormat="false" ht="21.75" hidden="false" customHeight="true" outlineLevel="0" collapsed="false">
      <c r="B5" s="13" t="s">
        <v>138</v>
      </c>
      <c r="C5" s="14" t="s">
        <v>89</v>
      </c>
      <c r="D5" s="14" t="s">
        <v>189</v>
      </c>
      <c r="E5" s="14" t="s">
        <v>125</v>
      </c>
      <c r="F5" s="14" t="s">
        <v>126</v>
      </c>
      <c r="G5" s="14" t="s">
        <v>127</v>
      </c>
      <c r="H5" s="14" t="s">
        <v>128</v>
      </c>
      <c r="I5" s="14" t="s">
        <v>129</v>
      </c>
      <c r="J5" s="14" t="s">
        <v>130</v>
      </c>
      <c r="K5" s="14" t="s">
        <v>131</v>
      </c>
      <c r="L5" s="14" t="s">
        <v>171</v>
      </c>
      <c r="M5" s="14" t="s">
        <v>172</v>
      </c>
      <c r="N5" s="14" t="s">
        <v>173</v>
      </c>
      <c r="O5" s="14" t="s">
        <v>174</v>
      </c>
      <c r="P5" s="14" t="s">
        <v>175</v>
      </c>
      <c r="Q5" s="14" t="s">
        <v>176</v>
      </c>
      <c r="R5" s="14" t="s">
        <v>177</v>
      </c>
      <c r="S5" s="14" t="s">
        <v>178</v>
      </c>
    </row>
    <row r="6" customFormat="false" ht="15" hidden="false" customHeight="true" outlineLevel="0" collapsed="false">
      <c r="E6" s="36" t="n">
        <v>2026</v>
      </c>
      <c r="F6" s="36" t="n">
        <v>2027</v>
      </c>
      <c r="G6" s="36" t="n">
        <v>2028</v>
      </c>
      <c r="H6" s="36" t="n">
        <v>2029</v>
      </c>
      <c r="I6" s="36" t="n">
        <v>2030</v>
      </c>
      <c r="J6" s="36" t="n">
        <v>2031</v>
      </c>
      <c r="K6" s="36" t="n">
        <v>2032</v>
      </c>
      <c r="L6" s="36" t="n">
        <v>2033</v>
      </c>
      <c r="M6" s="36" t="n">
        <v>2034</v>
      </c>
      <c r="N6" s="36" t="n">
        <v>2035</v>
      </c>
      <c r="O6" s="36" t="n">
        <v>2036</v>
      </c>
      <c r="P6" s="36" t="n">
        <v>2037</v>
      </c>
      <c r="Q6" s="36" t="n">
        <v>2038</v>
      </c>
      <c r="R6" s="36" t="n">
        <v>2039</v>
      </c>
      <c r="S6" s="36" t="n">
        <v>2040</v>
      </c>
    </row>
    <row r="7" customFormat="false" ht="15" hidden="false" customHeight="true" outlineLevel="0" collapsed="false">
      <c r="B7" s="4" t="s">
        <v>190</v>
      </c>
    </row>
    <row r="8" customFormat="false" ht="15" hidden="false" customHeight="true" outlineLevel="0" collapsed="false">
      <c r="B8" s="7" t="s">
        <v>191</v>
      </c>
      <c r="C8" s="7" t="s">
        <v>110</v>
      </c>
      <c r="D8" s="30" t="n">
        <f aca="false">SUM(E8:S8)</f>
        <v>0</v>
      </c>
      <c r="E8" s="30" t="n">
        <f aca="false">IF(E$6&lt;01_Annahmen!$O$30,0,(1-01_Annahmen!$P$30)*01_Annahmen!$H$30*(1+01_Annahmen!$L$30)^(E$6-01_Annahmen!$O$30)*(1-IF(E$6=01_Annahmen!$O$30,01_Annahmen!$K$30,IF(E$6=01_Annahmen!$O$30+1,(01_Annahmen!$K$30+01_Annahmen!$I$30)/2,01_Annahmen!$I$30))-01_Annahmen!$J$30))</f>
        <v>0</v>
      </c>
      <c r="F8" s="30" t="n">
        <f aca="false">IF(F$6&lt;01_Annahmen!$O$30,0,(1-01_Annahmen!$P$30)*01_Annahmen!$H$30*(1+01_Annahmen!$L$30)^(F$6-01_Annahmen!$O$30)*(1-IF(F$6=01_Annahmen!$O$30,01_Annahmen!$K$30,IF(F$6=01_Annahmen!$O$30+1,(01_Annahmen!$K$30+01_Annahmen!$I$30)/2,01_Annahmen!$I$30))-01_Annahmen!$J$30))</f>
        <v>0</v>
      </c>
      <c r="G8" s="30" t="n">
        <f aca="false">IF(G$6&lt;01_Annahmen!$O$30,0,(1-01_Annahmen!$P$30)*01_Annahmen!$H$30*(1+01_Annahmen!$L$30)^(G$6-01_Annahmen!$O$30)*(1-IF(G$6=01_Annahmen!$O$30,01_Annahmen!$K$30,IF(G$6=01_Annahmen!$O$30+1,(01_Annahmen!$K$30+01_Annahmen!$I$30)/2,01_Annahmen!$I$30))-01_Annahmen!$J$30))</f>
        <v>0</v>
      </c>
      <c r="H8" s="30" t="n">
        <f aca="false">IF(H$6&lt;01_Annahmen!$O$30,0,(1-01_Annahmen!$P$30)*01_Annahmen!$H$30*(1+01_Annahmen!$L$30)^(H$6-01_Annahmen!$O$30)*(1-IF(H$6=01_Annahmen!$O$30,01_Annahmen!$K$30,IF(H$6=01_Annahmen!$O$30+1,(01_Annahmen!$K$30+01_Annahmen!$I$30)/2,01_Annahmen!$I$30))-01_Annahmen!$J$30))</f>
        <v>0</v>
      </c>
      <c r="I8" s="30" t="n">
        <f aca="false">IF(I$6&lt;01_Annahmen!$O$30,0,(1-01_Annahmen!$P$30)*01_Annahmen!$H$30*(1+01_Annahmen!$L$30)^(I$6-01_Annahmen!$O$30)*(1-IF(I$6=01_Annahmen!$O$30,01_Annahmen!$K$30,IF(I$6=01_Annahmen!$O$30+1,(01_Annahmen!$K$30+01_Annahmen!$I$30)/2,01_Annahmen!$I$30))-01_Annahmen!$J$30))</f>
        <v>0</v>
      </c>
      <c r="J8" s="30" t="n">
        <f aca="false">IF(J$6&lt;01_Annahmen!$O$30,0,(1-01_Annahmen!$P$30)*01_Annahmen!$H$30*(1+01_Annahmen!$L$30)^(J$6-01_Annahmen!$O$30)*(1-IF(J$6=01_Annahmen!$O$30,01_Annahmen!$K$30,IF(J$6=01_Annahmen!$O$30+1,(01_Annahmen!$K$30+01_Annahmen!$I$30)/2,01_Annahmen!$I$30))-01_Annahmen!$J$30))</f>
        <v>0</v>
      </c>
      <c r="K8" s="30" t="n">
        <f aca="false">IF(K$6&lt;01_Annahmen!$O$30,0,(1-01_Annahmen!$P$30)*01_Annahmen!$H$30*(1+01_Annahmen!$L$30)^(K$6-01_Annahmen!$O$30)*(1-IF(K$6=01_Annahmen!$O$30,01_Annahmen!$K$30,IF(K$6=01_Annahmen!$O$30+1,(01_Annahmen!$K$30+01_Annahmen!$I$30)/2,01_Annahmen!$I$30))-01_Annahmen!$J$30))</f>
        <v>0</v>
      </c>
      <c r="L8" s="30" t="n">
        <f aca="false">IF(L$6&lt;01_Annahmen!$O$30,0,(1-01_Annahmen!$P$30)*01_Annahmen!$H$30*(1+01_Annahmen!$L$30)^(L$6-01_Annahmen!$O$30)*(1-IF(L$6=01_Annahmen!$O$30,01_Annahmen!$K$30,IF(L$6=01_Annahmen!$O$30+1,(01_Annahmen!$K$30+01_Annahmen!$I$30)/2,01_Annahmen!$I$30))-01_Annahmen!$J$30))</f>
        <v>0</v>
      </c>
      <c r="M8" s="30" t="n">
        <f aca="false">IF(M$6&lt;01_Annahmen!$O$30,0,(1-01_Annahmen!$P$30)*01_Annahmen!$H$30*(1+01_Annahmen!$L$30)^(M$6-01_Annahmen!$O$30)*(1-IF(M$6=01_Annahmen!$O$30,01_Annahmen!$K$30,IF(M$6=01_Annahmen!$O$30+1,(01_Annahmen!$K$30+01_Annahmen!$I$30)/2,01_Annahmen!$I$30))-01_Annahmen!$J$30))</f>
        <v>0</v>
      </c>
      <c r="N8" s="30" t="n">
        <f aca="false">IF(N$6&lt;01_Annahmen!$O$30,0,(1-01_Annahmen!$P$30)*01_Annahmen!$H$30*(1+01_Annahmen!$L$30)^(N$6-01_Annahmen!$O$30)*(1-IF(N$6=01_Annahmen!$O$30,01_Annahmen!$K$30,IF(N$6=01_Annahmen!$O$30+1,(01_Annahmen!$K$30+01_Annahmen!$I$30)/2,01_Annahmen!$I$30))-01_Annahmen!$J$30))</f>
        <v>0</v>
      </c>
      <c r="O8" s="30" t="n">
        <f aca="false">IF(O$6&lt;01_Annahmen!$O$30,0,(1-01_Annahmen!$P$30)*01_Annahmen!$H$30*(1+01_Annahmen!$L$30)^(O$6-01_Annahmen!$O$30)*(1-IF(O$6=01_Annahmen!$O$30,01_Annahmen!$K$30,IF(O$6=01_Annahmen!$O$30+1,(01_Annahmen!$K$30+01_Annahmen!$I$30)/2,01_Annahmen!$I$30))-01_Annahmen!$J$30))</f>
        <v>0</v>
      </c>
      <c r="P8" s="30" t="n">
        <f aca="false">IF(P$6&lt;01_Annahmen!$O$30,0,(1-01_Annahmen!$P$30)*01_Annahmen!$H$30*(1+01_Annahmen!$L$30)^(P$6-01_Annahmen!$O$30)*(1-IF(P$6=01_Annahmen!$O$30,01_Annahmen!$K$30,IF(P$6=01_Annahmen!$O$30+1,(01_Annahmen!$K$30+01_Annahmen!$I$30)/2,01_Annahmen!$I$30))-01_Annahmen!$J$30))</f>
        <v>0</v>
      </c>
      <c r="Q8" s="30" t="n">
        <f aca="false">IF(Q$6&lt;01_Annahmen!$O$30,0,(1-01_Annahmen!$P$30)*01_Annahmen!$H$30*(1+01_Annahmen!$L$30)^(Q$6-01_Annahmen!$O$30)*(1-IF(Q$6=01_Annahmen!$O$30,01_Annahmen!$K$30,IF(Q$6=01_Annahmen!$O$30+1,(01_Annahmen!$K$30+01_Annahmen!$I$30)/2,01_Annahmen!$I$30))-01_Annahmen!$J$30))</f>
        <v>0</v>
      </c>
      <c r="R8" s="30" t="n">
        <f aca="false">IF(R$6&lt;01_Annahmen!$O$30,0,(1-01_Annahmen!$P$30)*01_Annahmen!$H$30*(1+01_Annahmen!$L$30)^(R$6-01_Annahmen!$O$30)*(1-IF(R$6=01_Annahmen!$O$30,01_Annahmen!$K$30,IF(R$6=01_Annahmen!$O$30+1,(01_Annahmen!$K$30+01_Annahmen!$I$30)/2,01_Annahmen!$I$30))-01_Annahmen!$J$30))</f>
        <v>0</v>
      </c>
      <c r="S8" s="30" t="n">
        <f aca="false">IF(S$6&lt;01_Annahmen!$O$30,0,(1-01_Annahmen!$P$30)*01_Annahmen!$H$30*(1+01_Annahmen!$L$30)^(S$6-01_Annahmen!$O$30)*(1-IF(S$6=01_Annahmen!$O$30,01_Annahmen!$K$30,IF(S$6=01_Annahmen!$O$30+1,(01_Annahmen!$K$30+01_Annahmen!$I$30)/2,01_Annahmen!$I$30))-01_Annahmen!$J$30))</f>
        <v>0</v>
      </c>
    </row>
    <row r="9" customFormat="false" ht="15" hidden="false" customHeight="true" outlineLevel="0" collapsed="false">
      <c r="B9" s="7" t="s">
        <v>191</v>
      </c>
      <c r="C9" s="7" t="s">
        <v>113</v>
      </c>
      <c r="D9" s="30" t="n">
        <f aca="false">SUM(E9:S9)</f>
        <v>17445215.3432481</v>
      </c>
      <c r="E9" s="30" t="n">
        <f aca="false">IF(E$6&lt;01_Annahmen!$O$31,0,(1-01_Annahmen!$P$31)*01_Annahmen!$H$31*(1+01_Annahmen!$L$31)^(E$6-01_Annahmen!$O$31)*(1-IF(E$6=01_Annahmen!$O$31,01_Annahmen!$K$31,IF(E$6=01_Annahmen!$O$31+1,(01_Annahmen!$K$31+01_Annahmen!$I$31)/2,01_Annahmen!$I$31))-01_Annahmen!$J$31))</f>
        <v>0</v>
      </c>
      <c r="F9" s="30" t="n">
        <f aca="false">IF(F$6&lt;01_Annahmen!$O$31,0,(1-01_Annahmen!$P$31)*01_Annahmen!$H$31*(1+01_Annahmen!$L$31)^(F$6-01_Annahmen!$O$31)*(1-IF(F$6=01_Annahmen!$O$31,01_Annahmen!$K$31,IF(F$6=01_Annahmen!$O$31+1,(01_Annahmen!$K$31+01_Annahmen!$I$31)/2,01_Annahmen!$I$31))-01_Annahmen!$J$31))</f>
        <v>0</v>
      </c>
      <c r="G9" s="30" t="n">
        <f aca="false">IF(G$6&lt;01_Annahmen!$O$31,0,(1-01_Annahmen!$P$31)*01_Annahmen!$H$31*(1+01_Annahmen!$L$31)^(G$6-01_Annahmen!$O$31)*(1-IF(G$6=01_Annahmen!$O$31,01_Annahmen!$K$31,IF(G$6=01_Annahmen!$O$31+1,(01_Annahmen!$K$31+01_Annahmen!$I$31)/2,01_Annahmen!$I$31))-01_Annahmen!$J$31))</f>
        <v>0</v>
      </c>
      <c r="H9" s="30" t="n">
        <f aca="false">IF(H$6&lt;01_Annahmen!$O$31,0,(1-01_Annahmen!$P$31)*01_Annahmen!$H$31*(1+01_Annahmen!$L$31)^(H$6-01_Annahmen!$O$31)*(1-IF(H$6=01_Annahmen!$O$31,01_Annahmen!$K$31,IF(H$6=01_Annahmen!$O$31+1,(01_Annahmen!$K$31+01_Annahmen!$I$31)/2,01_Annahmen!$I$31))-01_Annahmen!$J$31))</f>
        <v>0</v>
      </c>
      <c r="I9" s="30" t="n">
        <f aca="false">IF(I$6&lt;01_Annahmen!$O$31,0,(1-01_Annahmen!$P$31)*01_Annahmen!$H$31*(1+01_Annahmen!$L$31)^(I$6-01_Annahmen!$O$31)*(1-IF(I$6=01_Annahmen!$O$31,01_Annahmen!$K$31,IF(I$6=01_Annahmen!$O$31+1,(01_Annahmen!$K$31+01_Annahmen!$I$31)/2,01_Annahmen!$I$31))-01_Annahmen!$J$31))</f>
        <v>818361.4354</v>
      </c>
      <c r="J9" s="30" t="n">
        <f aca="false">IF(J$6&lt;01_Annahmen!$O$31,0,(1-01_Annahmen!$P$31)*01_Annahmen!$H$31*(1+01_Annahmen!$L$31)^(J$6-01_Annahmen!$O$31)*(1-IF(J$6=01_Annahmen!$O$31,01_Annahmen!$K$31,IF(J$6=01_Annahmen!$O$31+1,(01_Annahmen!$K$31+01_Annahmen!$I$31)/2,01_Annahmen!$I$31))-01_Annahmen!$J$31))</f>
        <v>1233332.446275</v>
      </c>
      <c r="K9" s="30" t="n">
        <f aca="false">IF(K$6&lt;01_Annahmen!$O$31,0,(1-01_Annahmen!$P$31)*01_Annahmen!$H$31*(1+01_Annahmen!$L$31)^(K$6-01_Annahmen!$O$31)*(1-IF(K$6=01_Annahmen!$O$31,01_Annahmen!$K$31,IF(K$6=01_Annahmen!$O$31+1,(01_Annahmen!$K$31+01_Annahmen!$I$31)/2,01_Annahmen!$I$31))-01_Annahmen!$J$31))</f>
        <v>1655053.95510543</v>
      </c>
      <c r="L9" s="30" t="n">
        <f aca="false">IF(L$6&lt;01_Annahmen!$O$31,0,(1-01_Annahmen!$P$31)*01_Annahmen!$H$31*(1+01_Annahmen!$L$31)^(L$6-01_Annahmen!$O$31)*(1-IF(L$6=01_Annahmen!$O$31,01_Annahmen!$K$31,IF(L$6=01_Annahmen!$O$31+1,(01_Annahmen!$K$31+01_Annahmen!$I$31)/2,01_Annahmen!$I$31))-01_Annahmen!$J$31))</f>
        <v>1668625.3975373</v>
      </c>
      <c r="M9" s="30" t="n">
        <f aca="false">IF(M$6&lt;01_Annahmen!$O$31,0,(1-01_Annahmen!$P$31)*01_Annahmen!$H$31*(1+01_Annahmen!$L$31)^(M$6-01_Annahmen!$O$31)*(1-IF(M$6=01_Annahmen!$O$31,01_Annahmen!$K$31,IF(M$6=01_Annahmen!$O$31+1,(01_Annahmen!$K$31+01_Annahmen!$I$31)/2,01_Annahmen!$I$31))-01_Annahmen!$J$31))</f>
        <v>1682308.1257971</v>
      </c>
      <c r="N9" s="30" t="n">
        <f aca="false">IF(N$6&lt;01_Annahmen!$O$31,0,(1-01_Annahmen!$P$31)*01_Annahmen!$H$31*(1+01_Annahmen!$L$31)^(N$6-01_Annahmen!$O$31)*(1-IF(N$6=01_Annahmen!$O$31,01_Annahmen!$K$31,IF(N$6=01_Annahmen!$O$31+1,(01_Annahmen!$K$31+01_Annahmen!$I$31)/2,01_Annahmen!$I$31))-01_Annahmen!$J$31))</f>
        <v>1696103.05242864</v>
      </c>
      <c r="O9" s="30" t="n">
        <f aca="false">IF(O$6&lt;01_Annahmen!$O$31,0,(1-01_Annahmen!$P$31)*01_Annahmen!$H$31*(1+01_Annahmen!$L$31)^(O$6-01_Annahmen!$O$31)*(1-IF(O$6=01_Annahmen!$O$31,01_Annahmen!$K$31,IF(O$6=01_Annahmen!$O$31+1,(01_Annahmen!$K$31+01_Annahmen!$I$31)/2,01_Annahmen!$I$31))-01_Annahmen!$J$31))</f>
        <v>1710011.09745856</v>
      </c>
      <c r="P9" s="30" t="n">
        <f aca="false">IF(P$6&lt;01_Annahmen!$O$31,0,(1-01_Annahmen!$P$31)*01_Annahmen!$H$31*(1+01_Annahmen!$L$31)^(P$6-01_Annahmen!$O$31)*(1-IF(P$6=01_Annahmen!$O$31,01_Annahmen!$K$31,IF(P$6=01_Annahmen!$O$31+1,(01_Annahmen!$K$31+01_Annahmen!$I$31)/2,01_Annahmen!$I$31))-01_Annahmen!$J$31))</f>
        <v>1724033.18845772</v>
      </c>
      <c r="Q9" s="30" t="n">
        <f aca="false">IF(Q$6&lt;01_Annahmen!$O$31,0,(1-01_Annahmen!$P$31)*01_Annahmen!$H$31*(1+01_Annahmen!$L$31)^(Q$6-01_Annahmen!$O$31)*(1-IF(Q$6=01_Annahmen!$O$31,01_Annahmen!$K$31,IF(Q$6=01_Annahmen!$O$31+1,(01_Annahmen!$K$31+01_Annahmen!$I$31)/2,01_Annahmen!$I$31))-01_Annahmen!$J$31))</f>
        <v>1738170.26060307</v>
      </c>
      <c r="R9" s="30" t="n">
        <f aca="false">IF(R$6&lt;01_Annahmen!$O$31,0,(1-01_Annahmen!$P$31)*01_Annahmen!$H$31*(1+01_Annahmen!$L$31)^(R$6-01_Annahmen!$O$31)*(1-IF(R$6=01_Annahmen!$O$31,01_Annahmen!$K$31,IF(R$6=01_Annahmen!$O$31+1,(01_Annahmen!$K$31+01_Annahmen!$I$31)/2,01_Annahmen!$I$31))-01_Annahmen!$J$31))</f>
        <v>1752423.25674001</v>
      </c>
      <c r="S9" s="30" t="n">
        <f aca="false">IF(S$6&lt;01_Annahmen!$O$31,0,(1-01_Annahmen!$P$31)*01_Annahmen!$H$31*(1+01_Annahmen!$L$31)^(S$6-01_Annahmen!$O$31)*(1-IF(S$6=01_Annahmen!$O$31,01_Annahmen!$K$31,IF(S$6=01_Annahmen!$O$31+1,(01_Annahmen!$K$31+01_Annahmen!$I$31)/2,01_Annahmen!$I$31))-01_Annahmen!$J$31))</f>
        <v>1766793.12744528</v>
      </c>
    </row>
    <row r="10" customFormat="false" ht="15" hidden="false" customHeight="true" outlineLevel="0" collapsed="false">
      <c r="B10" s="7" t="s">
        <v>191</v>
      </c>
      <c r="C10" s="7" t="s">
        <v>116</v>
      </c>
      <c r="D10" s="30" t="n">
        <f aca="false">SUM(E10:S10)</f>
        <v>20516832.082985</v>
      </c>
      <c r="E10" s="30" t="n">
        <f aca="false">IF(E$6&lt;01_Annahmen!$O$32,0,(1-01_Annahmen!$P$32)*01_Annahmen!$H$32*(1+01_Annahmen!$L$32)^(E$6-01_Annahmen!$O$32)*(1-IF(E$6=01_Annahmen!$O$32,01_Annahmen!$K$32,IF(E$6=01_Annahmen!$O$32+1,(01_Annahmen!$K$32+01_Annahmen!$I$32)/2,01_Annahmen!$I$32))-01_Annahmen!$J$32))</f>
        <v>0</v>
      </c>
      <c r="F10" s="30" t="n">
        <f aca="false">IF(F$6&lt;01_Annahmen!$O$32,0,(1-01_Annahmen!$P$32)*01_Annahmen!$H$32*(1+01_Annahmen!$L$32)^(F$6-01_Annahmen!$O$32)*(1-IF(F$6=01_Annahmen!$O$32,01_Annahmen!$K$32,IF(F$6=01_Annahmen!$O$32+1,(01_Annahmen!$K$32+01_Annahmen!$I$32)/2,01_Annahmen!$I$32))-01_Annahmen!$J$32))</f>
        <v>0</v>
      </c>
      <c r="G10" s="30" t="n">
        <f aca="false">IF(G$6&lt;01_Annahmen!$O$32,0,(1-01_Annahmen!$P$32)*01_Annahmen!$H$32*(1+01_Annahmen!$L$32)^(G$6-01_Annahmen!$O$32)*(1-IF(G$6=01_Annahmen!$O$32,01_Annahmen!$K$32,IF(G$6=01_Annahmen!$O$32+1,(01_Annahmen!$K$32+01_Annahmen!$I$32)/2,01_Annahmen!$I$32))-01_Annahmen!$J$32))</f>
        <v>0</v>
      </c>
      <c r="H10" s="30" t="n">
        <f aca="false">IF(H$6&lt;01_Annahmen!$O$32,0,(1-01_Annahmen!$P$32)*01_Annahmen!$H$32*(1+01_Annahmen!$L$32)^(H$6-01_Annahmen!$O$32)*(1-IF(H$6=01_Annahmen!$O$32,01_Annahmen!$K$32,IF(H$6=01_Annahmen!$O$32+1,(01_Annahmen!$K$32+01_Annahmen!$I$32)/2,01_Annahmen!$I$32))-01_Annahmen!$J$32))</f>
        <v>0</v>
      </c>
      <c r="I10" s="30" t="n">
        <f aca="false">IF(I$6&lt;01_Annahmen!$O$32,0,(1-01_Annahmen!$P$32)*01_Annahmen!$H$32*(1+01_Annahmen!$L$32)^(I$6-01_Annahmen!$O$32)*(1-IF(I$6=01_Annahmen!$O$32,01_Annahmen!$K$32,IF(I$6=01_Annahmen!$O$32+1,(01_Annahmen!$K$32+01_Annahmen!$I$32)/2,01_Annahmen!$I$32))-01_Annahmen!$J$32))</f>
        <v>1012151.1816</v>
      </c>
      <c r="J10" s="30" t="n">
        <f aca="false">IF(J$6&lt;01_Annahmen!$O$32,0,(1-01_Annahmen!$P$32)*01_Annahmen!$H$32*(1+01_Annahmen!$L$32)^(J$6-01_Annahmen!$O$32)*(1-IF(J$6=01_Annahmen!$O$32,01_Annahmen!$K$32,IF(J$6=01_Annahmen!$O$32+1,(01_Annahmen!$K$32+01_Annahmen!$I$32)/2,01_Annahmen!$I$32))-01_Annahmen!$J$32))</f>
        <v>1474218.26261424</v>
      </c>
      <c r="K10" s="30" t="n">
        <f aca="false">IF(K$6&lt;01_Annahmen!$O$32,0,(1-01_Annahmen!$P$32)*01_Annahmen!$H$32*(1+01_Annahmen!$L$32)^(K$6-01_Annahmen!$O$32)*(1-IF(K$6=01_Annahmen!$O$32,01_Annahmen!$K$32,IF(K$6=01_Annahmen!$O$32+1,(01_Annahmen!$K$32+01_Annahmen!$I$32)/2,01_Annahmen!$I$32))-01_Annahmen!$J$32))</f>
        <v>1943250.30140765</v>
      </c>
      <c r="L10" s="30" t="n">
        <f aca="false">IF(L$6&lt;01_Annahmen!$O$32,0,(1-01_Annahmen!$P$32)*01_Annahmen!$H$32*(1+01_Annahmen!$L$32)^(L$6-01_Annahmen!$O$32)*(1-IF(L$6=01_Annahmen!$O$32,01_Annahmen!$K$32,IF(L$6=01_Annahmen!$O$32+1,(01_Annahmen!$K$32+01_Annahmen!$I$32)/2,01_Annahmen!$I$32))-01_Annahmen!$J$32))</f>
        <v>1958019.00369835</v>
      </c>
      <c r="M10" s="30" t="n">
        <f aca="false">IF(M$6&lt;01_Annahmen!$O$32,0,(1-01_Annahmen!$P$32)*01_Annahmen!$H$32*(1+01_Annahmen!$L$32)^(M$6-01_Annahmen!$O$32)*(1-IF(M$6=01_Annahmen!$O$32,01_Annahmen!$K$32,IF(M$6=01_Annahmen!$O$32+1,(01_Annahmen!$K$32+01_Annahmen!$I$32)/2,01_Annahmen!$I$32))-01_Annahmen!$J$32))</f>
        <v>1972899.94812645</v>
      </c>
      <c r="N10" s="30" t="n">
        <f aca="false">IF(N$6&lt;01_Annahmen!$O$32,0,(1-01_Annahmen!$P$32)*01_Annahmen!$H$32*(1+01_Annahmen!$L$32)^(N$6-01_Annahmen!$O$32)*(1-IF(N$6=01_Annahmen!$O$32,01_Annahmen!$K$32,IF(N$6=01_Annahmen!$O$32+1,(01_Annahmen!$K$32+01_Annahmen!$I$32)/2,01_Annahmen!$I$32))-01_Annahmen!$J$32))</f>
        <v>1987893.98773221</v>
      </c>
      <c r="O10" s="30" t="n">
        <f aca="false">IF(O$6&lt;01_Annahmen!$O$32,0,(1-01_Annahmen!$P$32)*01_Annahmen!$H$32*(1+01_Annahmen!$L$32)^(O$6-01_Annahmen!$O$32)*(1-IF(O$6=01_Annahmen!$O$32,01_Annahmen!$K$32,IF(O$6=01_Annahmen!$O$32+1,(01_Annahmen!$K$32+01_Annahmen!$I$32)/2,01_Annahmen!$I$32))-01_Annahmen!$J$32))</f>
        <v>2003001.98203898</v>
      </c>
      <c r="P10" s="30" t="n">
        <f aca="false">IF(P$6&lt;01_Annahmen!$O$32,0,(1-01_Annahmen!$P$32)*01_Annahmen!$H$32*(1+01_Annahmen!$L$32)^(P$6-01_Annahmen!$O$32)*(1-IF(P$6=01_Annahmen!$O$32,01_Annahmen!$K$32,IF(P$6=01_Annahmen!$O$32+1,(01_Annahmen!$K$32+01_Annahmen!$I$32)/2,01_Annahmen!$I$32))-01_Annahmen!$J$32))</f>
        <v>2018224.79710248</v>
      </c>
      <c r="Q10" s="30" t="n">
        <f aca="false">IF(Q$6&lt;01_Annahmen!$O$32,0,(1-01_Annahmen!$P$32)*01_Annahmen!$H$32*(1+01_Annahmen!$L$32)^(Q$6-01_Annahmen!$O$32)*(1-IF(Q$6=01_Annahmen!$O$32,01_Annahmen!$K$32,IF(Q$6=01_Annahmen!$O$32+1,(01_Annahmen!$K$32+01_Annahmen!$I$32)/2,01_Annahmen!$I$32))-01_Annahmen!$J$32))</f>
        <v>2033563.30556046</v>
      </c>
      <c r="R10" s="30" t="n">
        <f aca="false">IF(R$6&lt;01_Annahmen!$O$32,0,(1-01_Annahmen!$P$32)*01_Annahmen!$H$32*(1+01_Annahmen!$L$32)^(R$6-01_Annahmen!$O$32)*(1-IF(R$6=01_Annahmen!$O$32,01_Annahmen!$K$32,IF(R$6=01_Annahmen!$O$32+1,(01_Annahmen!$K$32+01_Annahmen!$I$32)/2,01_Annahmen!$I$32))-01_Annahmen!$J$32))</f>
        <v>2049018.38668271</v>
      </c>
      <c r="S10" s="30" t="n">
        <f aca="false">IF(S$6&lt;01_Annahmen!$O$32,0,(1-01_Annahmen!$P$32)*01_Annahmen!$H$32*(1+01_Annahmen!$L$32)^(S$6-01_Annahmen!$O$32)*(1-IF(S$6=01_Annahmen!$O$32,01_Annahmen!$K$32,IF(S$6=01_Annahmen!$O$32+1,(01_Annahmen!$K$32+01_Annahmen!$I$32)/2,01_Annahmen!$I$32))-01_Annahmen!$J$32))</f>
        <v>2064590.9264215</v>
      </c>
    </row>
    <row r="11" customFormat="false" ht="15" hidden="false" customHeight="true" outlineLevel="0" collapsed="false">
      <c r="B11" s="7" t="s">
        <v>191</v>
      </c>
      <c r="C11" s="7" t="s">
        <v>118</v>
      </c>
      <c r="D11" s="30" t="n">
        <f aca="false">SUM(E11:S11)</f>
        <v>0</v>
      </c>
      <c r="E11" s="30" t="n">
        <f aca="false">IF(E$6&lt;01_Annahmen!$O$33,0,(1-01_Annahmen!$P$33)*01_Annahmen!$H$33*(1+01_Annahmen!$L$33)^(E$6-01_Annahmen!$O$33)*(1-IF(E$6=01_Annahmen!$O$33,01_Annahmen!$K$33,IF(E$6=01_Annahmen!$O$33+1,(01_Annahmen!$K$33+01_Annahmen!$I$33)/2,01_Annahmen!$I$33))-01_Annahmen!$J$33))</f>
        <v>0</v>
      </c>
      <c r="F11" s="30" t="n">
        <f aca="false">IF(F$6&lt;01_Annahmen!$O$33,0,(1-01_Annahmen!$P$33)*01_Annahmen!$H$33*(1+01_Annahmen!$L$33)^(F$6-01_Annahmen!$O$33)*(1-IF(F$6=01_Annahmen!$O$33,01_Annahmen!$K$33,IF(F$6=01_Annahmen!$O$33+1,(01_Annahmen!$K$33+01_Annahmen!$I$33)/2,01_Annahmen!$I$33))-01_Annahmen!$J$33))</f>
        <v>0</v>
      </c>
      <c r="G11" s="30" t="n">
        <f aca="false">IF(G$6&lt;01_Annahmen!$O$33,0,(1-01_Annahmen!$P$33)*01_Annahmen!$H$33*(1+01_Annahmen!$L$33)^(G$6-01_Annahmen!$O$33)*(1-IF(G$6=01_Annahmen!$O$33,01_Annahmen!$K$33,IF(G$6=01_Annahmen!$O$33+1,(01_Annahmen!$K$33+01_Annahmen!$I$33)/2,01_Annahmen!$I$33))-01_Annahmen!$J$33))</f>
        <v>0</v>
      </c>
      <c r="H11" s="30" t="n">
        <f aca="false">IF(H$6&lt;01_Annahmen!$O$33,0,(1-01_Annahmen!$P$33)*01_Annahmen!$H$33*(1+01_Annahmen!$L$33)^(H$6-01_Annahmen!$O$33)*(1-IF(H$6=01_Annahmen!$O$33,01_Annahmen!$K$33,IF(H$6=01_Annahmen!$O$33+1,(01_Annahmen!$K$33+01_Annahmen!$I$33)/2,01_Annahmen!$I$33))-01_Annahmen!$J$33))</f>
        <v>0</v>
      </c>
      <c r="I11" s="30" t="n">
        <f aca="false">IF(I$6&lt;01_Annahmen!$O$33,0,(1-01_Annahmen!$P$33)*01_Annahmen!$H$33*(1+01_Annahmen!$L$33)^(I$6-01_Annahmen!$O$33)*(1-IF(I$6=01_Annahmen!$O$33,01_Annahmen!$K$33,IF(I$6=01_Annahmen!$O$33+1,(01_Annahmen!$K$33+01_Annahmen!$I$33)/2,01_Annahmen!$I$33))-01_Annahmen!$J$33))</f>
        <v>0</v>
      </c>
      <c r="J11" s="30" t="n">
        <f aca="false">IF(J$6&lt;01_Annahmen!$O$33,0,(1-01_Annahmen!$P$33)*01_Annahmen!$H$33*(1+01_Annahmen!$L$33)^(J$6-01_Annahmen!$O$33)*(1-IF(J$6=01_Annahmen!$O$33,01_Annahmen!$K$33,IF(J$6=01_Annahmen!$O$33+1,(01_Annahmen!$K$33+01_Annahmen!$I$33)/2,01_Annahmen!$I$33))-01_Annahmen!$J$33))</f>
        <v>0</v>
      </c>
      <c r="K11" s="30" t="n">
        <f aca="false">IF(K$6&lt;01_Annahmen!$O$33,0,(1-01_Annahmen!$P$33)*01_Annahmen!$H$33*(1+01_Annahmen!$L$33)^(K$6-01_Annahmen!$O$33)*(1-IF(K$6=01_Annahmen!$O$33,01_Annahmen!$K$33,IF(K$6=01_Annahmen!$O$33+1,(01_Annahmen!$K$33+01_Annahmen!$I$33)/2,01_Annahmen!$I$33))-01_Annahmen!$J$33))</f>
        <v>0</v>
      </c>
      <c r="L11" s="30" t="n">
        <f aca="false">IF(L$6&lt;01_Annahmen!$O$33,0,(1-01_Annahmen!$P$33)*01_Annahmen!$H$33*(1+01_Annahmen!$L$33)^(L$6-01_Annahmen!$O$33)*(1-IF(L$6=01_Annahmen!$O$33,01_Annahmen!$K$33,IF(L$6=01_Annahmen!$O$33+1,(01_Annahmen!$K$33+01_Annahmen!$I$33)/2,01_Annahmen!$I$33))-01_Annahmen!$J$33))</f>
        <v>0</v>
      </c>
      <c r="M11" s="30" t="n">
        <f aca="false">IF(M$6&lt;01_Annahmen!$O$33,0,(1-01_Annahmen!$P$33)*01_Annahmen!$H$33*(1+01_Annahmen!$L$33)^(M$6-01_Annahmen!$O$33)*(1-IF(M$6=01_Annahmen!$O$33,01_Annahmen!$K$33,IF(M$6=01_Annahmen!$O$33+1,(01_Annahmen!$K$33+01_Annahmen!$I$33)/2,01_Annahmen!$I$33))-01_Annahmen!$J$33))</f>
        <v>0</v>
      </c>
      <c r="N11" s="30" t="n">
        <f aca="false">IF(N$6&lt;01_Annahmen!$O$33,0,(1-01_Annahmen!$P$33)*01_Annahmen!$H$33*(1+01_Annahmen!$L$33)^(N$6-01_Annahmen!$O$33)*(1-IF(N$6=01_Annahmen!$O$33,01_Annahmen!$K$33,IF(N$6=01_Annahmen!$O$33+1,(01_Annahmen!$K$33+01_Annahmen!$I$33)/2,01_Annahmen!$I$33))-01_Annahmen!$J$33))</f>
        <v>0</v>
      </c>
      <c r="O11" s="30" t="n">
        <f aca="false">IF(O$6&lt;01_Annahmen!$O$33,0,(1-01_Annahmen!$P$33)*01_Annahmen!$H$33*(1+01_Annahmen!$L$33)^(O$6-01_Annahmen!$O$33)*(1-IF(O$6=01_Annahmen!$O$33,01_Annahmen!$K$33,IF(O$6=01_Annahmen!$O$33+1,(01_Annahmen!$K$33+01_Annahmen!$I$33)/2,01_Annahmen!$I$33))-01_Annahmen!$J$33))</f>
        <v>0</v>
      </c>
      <c r="P11" s="30" t="n">
        <f aca="false">IF(P$6&lt;01_Annahmen!$O$33,0,(1-01_Annahmen!$P$33)*01_Annahmen!$H$33*(1+01_Annahmen!$L$33)^(P$6-01_Annahmen!$O$33)*(1-IF(P$6=01_Annahmen!$O$33,01_Annahmen!$K$33,IF(P$6=01_Annahmen!$O$33+1,(01_Annahmen!$K$33+01_Annahmen!$I$33)/2,01_Annahmen!$I$33))-01_Annahmen!$J$33))</f>
        <v>0</v>
      </c>
      <c r="Q11" s="30" t="n">
        <f aca="false">IF(Q$6&lt;01_Annahmen!$O$33,0,(1-01_Annahmen!$P$33)*01_Annahmen!$H$33*(1+01_Annahmen!$L$33)^(Q$6-01_Annahmen!$O$33)*(1-IF(Q$6=01_Annahmen!$O$33,01_Annahmen!$K$33,IF(Q$6=01_Annahmen!$O$33+1,(01_Annahmen!$K$33+01_Annahmen!$I$33)/2,01_Annahmen!$I$33))-01_Annahmen!$J$33))</f>
        <v>0</v>
      </c>
      <c r="R11" s="30" t="n">
        <f aca="false">IF(R$6&lt;01_Annahmen!$O$33,0,(1-01_Annahmen!$P$33)*01_Annahmen!$H$33*(1+01_Annahmen!$L$33)^(R$6-01_Annahmen!$O$33)*(1-IF(R$6=01_Annahmen!$O$33,01_Annahmen!$K$33,IF(R$6=01_Annahmen!$O$33+1,(01_Annahmen!$K$33+01_Annahmen!$I$33)/2,01_Annahmen!$I$33))-01_Annahmen!$J$33))</f>
        <v>0</v>
      </c>
      <c r="S11" s="30" t="n">
        <f aca="false">IF(S$6&lt;01_Annahmen!$O$33,0,(1-01_Annahmen!$P$33)*01_Annahmen!$H$33*(1+01_Annahmen!$L$33)^(S$6-01_Annahmen!$O$33)*(1-IF(S$6=01_Annahmen!$O$33,01_Annahmen!$K$33,IF(S$6=01_Annahmen!$O$33+1,(01_Annahmen!$K$33+01_Annahmen!$I$33)/2,01_Annahmen!$I$33))-01_Annahmen!$J$33))</f>
        <v>0</v>
      </c>
    </row>
    <row r="12" customFormat="false" ht="15" hidden="false" customHeight="true" outlineLevel="0" collapsed="false">
      <c r="B12" s="5" t="s">
        <v>192</v>
      </c>
      <c r="D12" s="35" t="n">
        <f aca="false">SUM(D8:D11)</f>
        <v>37962047.4262331</v>
      </c>
      <c r="E12" s="35" t="n">
        <f aca="false">SUM(E8:E11)</f>
        <v>0</v>
      </c>
      <c r="F12" s="35" t="n">
        <f aca="false">SUM(F8:F11)</f>
        <v>0</v>
      </c>
      <c r="G12" s="35" t="n">
        <f aca="false">SUM(G8:G11)</f>
        <v>0</v>
      </c>
      <c r="H12" s="35" t="n">
        <f aca="false">SUM(H8:H11)</f>
        <v>0</v>
      </c>
      <c r="I12" s="35" t="n">
        <f aca="false">SUM(I8:I11)</f>
        <v>1830512.617</v>
      </c>
      <c r="J12" s="35" t="n">
        <f aca="false">SUM(J8:J11)</f>
        <v>2707550.70888924</v>
      </c>
      <c r="K12" s="35" t="n">
        <f aca="false">SUM(K8:K11)</f>
        <v>3598304.25651308</v>
      </c>
      <c r="L12" s="35" t="n">
        <f aca="false">SUM(L8:L11)</f>
        <v>3626644.40123564</v>
      </c>
      <c r="M12" s="35" t="n">
        <f aca="false">SUM(M8:M11)</f>
        <v>3655208.07392356</v>
      </c>
      <c r="N12" s="35" t="n">
        <f aca="false">SUM(N8:N11)</f>
        <v>3683997.04016085</v>
      </c>
      <c r="O12" s="35" t="n">
        <f aca="false">SUM(O8:O11)</f>
        <v>3713013.07949754</v>
      </c>
      <c r="P12" s="35" t="n">
        <f aca="false">SUM(P8:P11)</f>
        <v>3742257.98556019</v>
      </c>
      <c r="Q12" s="35" t="n">
        <f aca="false">SUM(Q8:Q11)</f>
        <v>3771733.56616352</v>
      </c>
      <c r="R12" s="35" t="n">
        <f aca="false">SUM(R8:R11)</f>
        <v>3801441.64342273</v>
      </c>
      <c r="S12" s="35" t="n">
        <f aca="false">SUM(S8:S11)</f>
        <v>3831384.05386678</v>
      </c>
    </row>
    <row r="13" customFormat="false" ht="15" hidden="false" customHeight="true" outlineLevel="0" collapsed="false">
      <c r="B13" s="7" t="s">
        <v>193</v>
      </c>
      <c r="C13" s="7" t="s">
        <v>110</v>
      </c>
      <c r="D13" s="30" t="n">
        <f aca="false">SUM(E13:S13)</f>
        <v>34183188</v>
      </c>
      <c r="E13" s="30" t="n">
        <f aca="false">IF(E$6=01_Annahmen!$S$30,01_Annahmen!$P$30*01_Annahmen!$Q$30*(1-01_Annahmen!$R$30),0)</f>
        <v>0</v>
      </c>
      <c r="F13" s="30" t="n">
        <f aca="false">IF(F$6=01_Annahmen!$S$30,01_Annahmen!$P$30*01_Annahmen!$Q$30*(1-01_Annahmen!$R$30),0)</f>
        <v>0</v>
      </c>
      <c r="G13" s="30" t="n">
        <f aca="false">IF(G$6=01_Annahmen!$S$30,01_Annahmen!$P$30*01_Annahmen!$Q$30*(1-01_Annahmen!$R$30),0)</f>
        <v>0</v>
      </c>
      <c r="H13" s="30" t="n">
        <f aca="false">IF(H$6=01_Annahmen!$S$30,01_Annahmen!$P$30*01_Annahmen!$Q$30*(1-01_Annahmen!$R$30),0)</f>
        <v>34183188</v>
      </c>
      <c r="I13" s="30" t="n">
        <f aca="false">IF(I$6=01_Annahmen!$S$30,01_Annahmen!$P$30*01_Annahmen!$Q$30*(1-01_Annahmen!$R$30),0)</f>
        <v>0</v>
      </c>
      <c r="J13" s="30" t="n">
        <f aca="false">IF(J$6=01_Annahmen!$S$30,01_Annahmen!$P$30*01_Annahmen!$Q$30*(1-01_Annahmen!$R$30),0)</f>
        <v>0</v>
      </c>
      <c r="K13" s="30" t="n">
        <f aca="false">IF(K$6=01_Annahmen!$S$30,01_Annahmen!$P$30*01_Annahmen!$Q$30*(1-01_Annahmen!$R$30),0)</f>
        <v>0</v>
      </c>
      <c r="L13" s="30" t="n">
        <f aca="false">IF(L$6=01_Annahmen!$S$30,01_Annahmen!$P$30*01_Annahmen!$Q$30*(1-01_Annahmen!$R$30),0)</f>
        <v>0</v>
      </c>
      <c r="M13" s="30" t="n">
        <f aca="false">IF(M$6=01_Annahmen!$S$30,01_Annahmen!$P$30*01_Annahmen!$Q$30*(1-01_Annahmen!$R$30),0)</f>
        <v>0</v>
      </c>
      <c r="N13" s="30" t="n">
        <f aca="false">IF(N$6=01_Annahmen!$S$30,01_Annahmen!$P$30*01_Annahmen!$Q$30*(1-01_Annahmen!$R$30),0)</f>
        <v>0</v>
      </c>
      <c r="O13" s="30" t="n">
        <f aca="false">IF(O$6=01_Annahmen!$S$30,01_Annahmen!$P$30*01_Annahmen!$Q$30*(1-01_Annahmen!$R$30),0)</f>
        <v>0</v>
      </c>
      <c r="P13" s="30" t="n">
        <f aca="false">IF(P$6=01_Annahmen!$S$30,01_Annahmen!$P$30*01_Annahmen!$Q$30*(1-01_Annahmen!$R$30),0)</f>
        <v>0</v>
      </c>
      <c r="Q13" s="30" t="n">
        <f aca="false">IF(Q$6=01_Annahmen!$S$30,01_Annahmen!$P$30*01_Annahmen!$Q$30*(1-01_Annahmen!$R$30),0)</f>
        <v>0</v>
      </c>
      <c r="R13" s="30" t="n">
        <f aca="false">IF(R$6=01_Annahmen!$S$30,01_Annahmen!$P$30*01_Annahmen!$Q$30*(1-01_Annahmen!$R$30),0)</f>
        <v>0</v>
      </c>
      <c r="S13" s="30" t="n">
        <f aca="false">IF(S$6=01_Annahmen!$S$30,01_Annahmen!$P$30*01_Annahmen!$Q$30*(1-01_Annahmen!$R$30),0)</f>
        <v>0</v>
      </c>
    </row>
    <row r="14" customFormat="false" ht="15" hidden="false" customHeight="true" outlineLevel="0" collapsed="false">
      <c r="B14" s="7" t="s">
        <v>193</v>
      </c>
      <c r="C14" s="7" t="s">
        <v>113</v>
      </c>
      <c r="D14" s="30" t="n">
        <f aca="false">SUM(E14:S14)</f>
        <v>0</v>
      </c>
      <c r="E14" s="30" t="n">
        <f aca="false">IF(E$6=01_Annahmen!$S$31,01_Annahmen!$P$31*01_Annahmen!$Q$31*(1-01_Annahmen!$R$31),0)</f>
        <v>0</v>
      </c>
      <c r="F14" s="30" t="n">
        <f aca="false">IF(F$6=01_Annahmen!$S$31,01_Annahmen!$P$31*01_Annahmen!$Q$31*(1-01_Annahmen!$R$31),0)</f>
        <v>0</v>
      </c>
      <c r="G14" s="30" t="n">
        <f aca="false">IF(G$6=01_Annahmen!$S$31,01_Annahmen!$P$31*01_Annahmen!$Q$31*(1-01_Annahmen!$R$31),0)</f>
        <v>0</v>
      </c>
      <c r="H14" s="30" t="n">
        <f aca="false">IF(H$6=01_Annahmen!$S$31,01_Annahmen!$P$31*01_Annahmen!$Q$31*(1-01_Annahmen!$R$31),0)</f>
        <v>0</v>
      </c>
      <c r="I14" s="30" t="n">
        <f aca="false">IF(I$6=01_Annahmen!$S$31,01_Annahmen!$P$31*01_Annahmen!$Q$31*(1-01_Annahmen!$R$31),0)</f>
        <v>0</v>
      </c>
      <c r="J14" s="30" t="n">
        <f aca="false">IF(J$6=01_Annahmen!$S$31,01_Annahmen!$P$31*01_Annahmen!$Q$31*(1-01_Annahmen!$R$31),0)</f>
        <v>0</v>
      </c>
      <c r="K14" s="30" t="n">
        <f aca="false">IF(K$6=01_Annahmen!$S$31,01_Annahmen!$P$31*01_Annahmen!$Q$31*(1-01_Annahmen!$R$31),0)</f>
        <v>0</v>
      </c>
      <c r="L14" s="30" t="n">
        <f aca="false">IF(L$6=01_Annahmen!$S$31,01_Annahmen!$P$31*01_Annahmen!$Q$31*(1-01_Annahmen!$R$31),0)</f>
        <v>0</v>
      </c>
      <c r="M14" s="30" t="n">
        <f aca="false">IF(M$6=01_Annahmen!$S$31,01_Annahmen!$P$31*01_Annahmen!$Q$31*(1-01_Annahmen!$R$31),0)</f>
        <v>0</v>
      </c>
      <c r="N14" s="30" t="n">
        <f aca="false">IF(N$6=01_Annahmen!$S$31,01_Annahmen!$P$31*01_Annahmen!$Q$31*(1-01_Annahmen!$R$31),0)</f>
        <v>0</v>
      </c>
      <c r="O14" s="30" t="n">
        <f aca="false">IF(O$6=01_Annahmen!$S$31,01_Annahmen!$P$31*01_Annahmen!$Q$31*(1-01_Annahmen!$R$31),0)</f>
        <v>0</v>
      </c>
      <c r="P14" s="30" t="n">
        <f aca="false">IF(P$6=01_Annahmen!$S$31,01_Annahmen!$P$31*01_Annahmen!$Q$31*(1-01_Annahmen!$R$31),0)</f>
        <v>0</v>
      </c>
      <c r="Q14" s="30" t="n">
        <f aca="false">IF(Q$6=01_Annahmen!$S$31,01_Annahmen!$P$31*01_Annahmen!$Q$31*(1-01_Annahmen!$R$31),0)</f>
        <v>0</v>
      </c>
      <c r="R14" s="30" t="n">
        <f aca="false">IF(R$6=01_Annahmen!$S$31,01_Annahmen!$P$31*01_Annahmen!$Q$31*(1-01_Annahmen!$R$31),0)</f>
        <v>0</v>
      </c>
      <c r="S14" s="30" t="n">
        <f aca="false">IF(S$6=01_Annahmen!$S$31,01_Annahmen!$P$31*01_Annahmen!$Q$31*(1-01_Annahmen!$R$31),0)</f>
        <v>0</v>
      </c>
    </row>
    <row r="15" customFormat="false" ht="15" hidden="false" customHeight="true" outlineLevel="0" collapsed="false">
      <c r="B15" s="7" t="s">
        <v>193</v>
      </c>
      <c r="C15" s="7" t="s">
        <v>116</v>
      </c>
      <c r="D15" s="30" t="n">
        <f aca="false">SUM(E15:S15)</f>
        <v>0</v>
      </c>
      <c r="E15" s="30" t="n">
        <f aca="false">IF(E$6=01_Annahmen!$S$32,01_Annahmen!$P$32*01_Annahmen!$Q$32*(1-01_Annahmen!$R$32),0)</f>
        <v>0</v>
      </c>
      <c r="F15" s="30" t="n">
        <f aca="false">IF(F$6=01_Annahmen!$S$32,01_Annahmen!$P$32*01_Annahmen!$Q$32*(1-01_Annahmen!$R$32),0)</f>
        <v>0</v>
      </c>
      <c r="G15" s="30" t="n">
        <f aca="false">IF(G$6=01_Annahmen!$S$32,01_Annahmen!$P$32*01_Annahmen!$Q$32*(1-01_Annahmen!$R$32),0)</f>
        <v>0</v>
      </c>
      <c r="H15" s="30" t="n">
        <f aca="false">IF(H$6=01_Annahmen!$S$32,01_Annahmen!$P$32*01_Annahmen!$Q$32*(1-01_Annahmen!$R$32),0)</f>
        <v>0</v>
      </c>
      <c r="I15" s="30" t="n">
        <f aca="false">IF(I$6=01_Annahmen!$S$32,01_Annahmen!$P$32*01_Annahmen!$Q$32*(1-01_Annahmen!$R$32),0)</f>
        <v>0</v>
      </c>
      <c r="J15" s="30" t="n">
        <f aca="false">IF(J$6=01_Annahmen!$S$32,01_Annahmen!$P$32*01_Annahmen!$Q$32*(1-01_Annahmen!$R$32),0)</f>
        <v>0</v>
      </c>
      <c r="K15" s="30" t="n">
        <f aca="false">IF(K$6=01_Annahmen!$S$32,01_Annahmen!$P$32*01_Annahmen!$Q$32*(1-01_Annahmen!$R$32),0)</f>
        <v>0</v>
      </c>
      <c r="L15" s="30" t="n">
        <f aca="false">IF(L$6=01_Annahmen!$S$32,01_Annahmen!$P$32*01_Annahmen!$Q$32*(1-01_Annahmen!$R$32),0)</f>
        <v>0</v>
      </c>
      <c r="M15" s="30" t="n">
        <f aca="false">IF(M$6=01_Annahmen!$S$32,01_Annahmen!$P$32*01_Annahmen!$Q$32*(1-01_Annahmen!$R$32),0)</f>
        <v>0</v>
      </c>
      <c r="N15" s="30" t="n">
        <f aca="false">IF(N$6=01_Annahmen!$S$32,01_Annahmen!$P$32*01_Annahmen!$Q$32*(1-01_Annahmen!$R$32),0)</f>
        <v>0</v>
      </c>
      <c r="O15" s="30" t="n">
        <f aca="false">IF(O$6=01_Annahmen!$S$32,01_Annahmen!$P$32*01_Annahmen!$Q$32*(1-01_Annahmen!$R$32),0)</f>
        <v>0</v>
      </c>
      <c r="P15" s="30" t="n">
        <f aca="false">IF(P$6=01_Annahmen!$S$32,01_Annahmen!$P$32*01_Annahmen!$Q$32*(1-01_Annahmen!$R$32),0)</f>
        <v>0</v>
      </c>
      <c r="Q15" s="30" t="n">
        <f aca="false">IF(Q$6=01_Annahmen!$S$32,01_Annahmen!$P$32*01_Annahmen!$Q$32*(1-01_Annahmen!$R$32),0)</f>
        <v>0</v>
      </c>
      <c r="R15" s="30" t="n">
        <f aca="false">IF(R$6=01_Annahmen!$S$32,01_Annahmen!$P$32*01_Annahmen!$Q$32*(1-01_Annahmen!$R$32),0)</f>
        <v>0</v>
      </c>
      <c r="S15" s="30" t="n">
        <f aca="false">IF(S$6=01_Annahmen!$S$32,01_Annahmen!$P$32*01_Annahmen!$Q$32*(1-01_Annahmen!$R$32),0)</f>
        <v>0</v>
      </c>
    </row>
    <row r="16" customFormat="false" ht="15" hidden="false" customHeight="true" outlineLevel="0" collapsed="false">
      <c r="B16" s="7" t="s">
        <v>193</v>
      </c>
      <c r="C16" s="7" t="s">
        <v>118</v>
      </c>
      <c r="D16" s="30" t="n">
        <f aca="false">SUM(E16:S16)</f>
        <v>77000000</v>
      </c>
      <c r="E16" s="30" t="n">
        <f aca="false">IF(E$6=01_Annahmen!$S$33,01_Annahmen!$P$33*01_Annahmen!$Q$33*(1-01_Annahmen!$R$33),0)</f>
        <v>0</v>
      </c>
      <c r="F16" s="30" t="n">
        <f aca="false">IF(F$6=01_Annahmen!$S$33,01_Annahmen!$P$33*01_Annahmen!$Q$33*(1-01_Annahmen!$R$33),0)</f>
        <v>0</v>
      </c>
      <c r="G16" s="30" t="n">
        <f aca="false">IF(G$6=01_Annahmen!$S$33,01_Annahmen!$P$33*01_Annahmen!$Q$33*(1-01_Annahmen!$R$33),0)</f>
        <v>0</v>
      </c>
      <c r="H16" s="30" t="n">
        <f aca="false">IF(H$6=01_Annahmen!$S$33,01_Annahmen!$P$33*01_Annahmen!$Q$33*(1-01_Annahmen!$R$33),0)</f>
        <v>0</v>
      </c>
      <c r="I16" s="30" t="n">
        <f aca="false">IF(I$6=01_Annahmen!$S$33,01_Annahmen!$P$33*01_Annahmen!$Q$33*(1-01_Annahmen!$R$33),0)</f>
        <v>0</v>
      </c>
      <c r="J16" s="30" t="n">
        <f aca="false">IF(J$6=01_Annahmen!$S$33,01_Annahmen!$P$33*01_Annahmen!$Q$33*(1-01_Annahmen!$R$33),0)</f>
        <v>77000000</v>
      </c>
      <c r="K16" s="30" t="n">
        <f aca="false">IF(K$6=01_Annahmen!$S$33,01_Annahmen!$P$33*01_Annahmen!$Q$33*(1-01_Annahmen!$R$33),0)</f>
        <v>0</v>
      </c>
      <c r="L16" s="30" t="n">
        <f aca="false">IF(L$6=01_Annahmen!$S$33,01_Annahmen!$P$33*01_Annahmen!$Q$33*(1-01_Annahmen!$R$33),0)</f>
        <v>0</v>
      </c>
      <c r="M16" s="30" t="n">
        <f aca="false">IF(M$6=01_Annahmen!$S$33,01_Annahmen!$P$33*01_Annahmen!$Q$33*(1-01_Annahmen!$R$33),0)</f>
        <v>0</v>
      </c>
      <c r="N16" s="30" t="n">
        <f aca="false">IF(N$6=01_Annahmen!$S$33,01_Annahmen!$P$33*01_Annahmen!$Q$33*(1-01_Annahmen!$R$33),0)</f>
        <v>0</v>
      </c>
      <c r="O16" s="30" t="n">
        <f aca="false">IF(O$6=01_Annahmen!$S$33,01_Annahmen!$P$33*01_Annahmen!$Q$33*(1-01_Annahmen!$R$33),0)</f>
        <v>0</v>
      </c>
      <c r="P16" s="30" t="n">
        <f aca="false">IF(P$6=01_Annahmen!$S$33,01_Annahmen!$P$33*01_Annahmen!$Q$33*(1-01_Annahmen!$R$33),0)</f>
        <v>0</v>
      </c>
      <c r="Q16" s="30" t="n">
        <f aca="false">IF(Q$6=01_Annahmen!$S$33,01_Annahmen!$P$33*01_Annahmen!$Q$33*(1-01_Annahmen!$R$33),0)</f>
        <v>0</v>
      </c>
      <c r="R16" s="30" t="n">
        <f aca="false">IF(R$6=01_Annahmen!$S$33,01_Annahmen!$P$33*01_Annahmen!$Q$33*(1-01_Annahmen!$R$33),0)</f>
        <v>0</v>
      </c>
      <c r="S16" s="30" t="n">
        <f aca="false">IF(S$6=01_Annahmen!$S$33,01_Annahmen!$P$33*01_Annahmen!$Q$33*(1-01_Annahmen!$R$33),0)</f>
        <v>0</v>
      </c>
    </row>
    <row r="17" customFormat="false" ht="15" hidden="false" customHeight="true" outlineLevel="0" collapsed="false">
      <c r="B17" s="5" t="s">
        <v>194</v>
      </c>
      <c r="D17" s="35" t="n">
        <f aca="false">SUM(D13:D16)</f>
        <v>111183188</v>
      </c>
      <c r="E17" s="35" t="n">
        <f aca="false">SUM(E13:E16)</f>
        <v>0</v>
      </c>
      <c r="F17" s="35" t="n">
        <f aca="false">SUM(F13:F16)</f>
        <v>0</v>
      </c>
      <c r="G17" s="35" t="n">
        <f aca="false">SUM(G13:G16)</f>
        <v>0</v>
      </c>
      <c r="H17" s="35" t="n">
        <f aca="false">SUM(H13:H16)</f>
        <v>34183188</v>
      </c>
      <c r="I17" s="35" t="n">
        <f aca="false">SUM(I13:I16)</f>
        <v>0</v>
      </c>
      <c r="J17" s="35" t="n">
        <f aca="false">SUM(J13:J16)</f>
        <v>77000000</v>
      </c>
      <c r="K17" s="35" t="n">
        <f aca="false">SUM(K13:K16)</f>
        <v>0</v>
      </c>
      <c r="L17" s="35" t="n">
        <f aca="false">SUM(L13:L16)</f>
        <v>0</v>
      </c>
      <c r="M17" s="35" t="n">
        <f aca="false">SUM(M13:M16)</f>
        <v>0</v>
      </c>
      <c r="N17" s="35" t="n">
        <f aca="false">SUM(N13:N16)</f>
        <v>0</v>
      </c>
      <c r="O17" s="35" t="n">
        <f aca="false">SUM(O13:O16)</f>
        <v>0</v>
      </c>
      <c r="P17" s="35" t="n">
        <f aca="false">SUM(P13:P16)</f>
        <v>0</v>
      </c>
      <c r="Q17" s="35" t="n">
        <f aca="false">SUM(Q13:Q16)</f>
        <v>0</v>
      </c>
      <c r="R17" s="35" t="n">
        <f aca="false">SUM(R13:R16)</f>
        <v>0</v>
      </c>
      <c r="S17" s="35" t="n">
        <f aca="false">SUM(S13:S16)</f>
        <v>0</v>
      </c>
    </row>
    <row r="18" customFormat="false" ht="15" hidden="false" customHeight="true" outlineLevel="0" collapsed="false">
      <c r="B18" s="7" t="s">
        <v>195</v>
      </c>
      <c r="D18" s="30" t="n">
        <f aca="false">SUM(E18:S18)</f>
        <v>-120888684</v>
      </c>
      <c r="E18" s="8" t="n">
        <f aca="false">-03_Investitionen!E16</f>
        <v>-1262500</v>
      </c>
      <c r="F18" s="8" t="n">
        <f aca="false">-03_Investitionen!F16</f>
        <v>-6375000</v>
      </c>
      <c r="G18" s="8" t="n">
        <f aca="false">-03_Investitionen!G16</f>
        <v>-39121654</v>
      </c>
      <c r="H18" s="8" t="n">
        <f aca="false">-03_Investitionen!H16</f>
        <v>-30720324.2</v>
      </c>
      <c r="I18" s="8" t="n">
        <f aca="false">-03_Investitionen!I16</f>
        <v>-23667789.3</v>
      </c>
      <c r="J18" s="8" t="n">
        <f aca="false">-03_Investitionen!J16</f>
        <v>-19741416.5</v>
      </c>
      <c r="K18" s="8" t="n">
        <f aca="false">-03_Investitionen!K16</f>
        <v>-0</v>
      </c>
      <c r="L18" s="8" t="n">
        <f aca="false">-03_Investitionen!L16</f>
        <v>-0</v>
      </c>
      <c r="M18" s="8" t="n">
        <f aca="false">-03_Investitionen!M16</f>
        <v>-0</v>
      </c>
      <c r="N18" s="8" t="n">
        <f aca="false">-03_Investitionen!N16</f>
        <v>-0</v>
      </c>
      <c r="O18" s="8" t="n">
        <f aca="false">-03_Investitionen!O16</f>
        <v>-0</v>
      </c>
      <c r="P18" s="8" t="n">
        <f aca="false">-03_Investitionen!P16</f>
        <v>-0</v>
      </c>
      <c r="Q18" s="8" t="n">
        <f aca="false">-03_Investitionen!Q16</f>
        <v>-0</v>
      </c>
      <c r="R18" s="8" t="n">
        <f aca="false">-03_Investitionen!R16</f>
        <v>-0</v>
      </c>
      <c r="S18" s="8" t="n">
        <f aca="false">-03_Investitionen!S16</f>
        <v>-0</v>
      </c>
    </row>
    <row r="19" customFormat="false" ht="15" hidden="false" customHeight="true" outlineLevel="0" collapsed="false">
      <c r="B19" s="7" t="s">
        <v>185</v>
      </c>
      <c r="D19" s="30" t="n">
        <f aca="false">SUM(E19:S19)</f>
        <v>-46101459</v>
      </c>
      <c r="E19" s="30" t="n">
        <f aca="false">IF(E$6=2026,-01_Annahmen!$C$25,0)</f>
        <v>-46101459</v>
      </c>
      <c r="F19" s="30" t="n">
        <f aca="false">IF(F$6=2026,-01_Annahmen!$C$25,0)</f>
        <v>0</v>
      </c>
      <c r="G19" s="30" t="n">
        <f aca="false">IF(G$6=2026,-01_Annahmen!$C$25,0)</f>
        <v>0</v>
      </c>
      <c r="H19" s="30" t="n">
        <f aca="false">IF(H$6=2026,-01_Annahmen!$C$25,0)</f>
        <v>0</v>
      </c>
      <c r="I19" s="30" t="n">
        <f aca="false">IF(I$6=2026,-01_Annahmen!$C$25,0)</f>
        <v>0</v>
      </c>
      <c r="J19" s="30" t="n">
        <f aca="false">IF(J$6=2026,-01_Annahmen!$C$25,0)</f>
        <v>0</v>
      </c>
      <c r="K19" s="30" t="n">
        <f aca="false">IF(K$6=2026,-01_Annahmen!$C$25,0)</f>
        <v>0</v>
      </c>
      <c r="L19" s="30" t="n">
        <f aca="false">IF(L$6=2026,-01_Annahmen!$C$25,0)</f>
        <v>0</v>
      </c>
      <c r="M19" s="30" t="n">
        <f aca="false">IF(M$6=2026,-01_Annahmen!$C$25,0)</f>
        <v>0</v>
      </c>
      <c r="N19" s="30" t="n">
        <f aca="false">IF(N$6=2026,-01_Annahmen!$C$25,0)</f>
        <v>0</v>
      </c>
      <c r="O19" s="30" t="n">
        <f aca="false">IF(O$6=2026,-01_Annahmen!$C$25,0)</f>
        <v>0</v>
      </c>
      <c r="P19" s="30" t="n">
        <f aca="false">IF(P$6=2026,-01_Annahmen!$C$25,0)</f>
        <v>0</v>
      </c>
      <c r="Q19" s="30" t="n">
        <f aca="false">IF(Q$6=2026,-01_Annahmen!$C$25,0)</f>
        <v>0</v>
      </c>
      <c r="R19" s="30" t="n">
        <f aca="false">IF(R$6=2026,-01_Annahmen!$C$25,0)</f>
        <v>0</v>
      </c>
      <c r="S19" s="30" t="n">
        <f aca="false">IF(S$6=2026,-01_Annahmen!$C$25,0)</f>
        <v>0</v>
      </c>
    </row>
    <row r="20" customFormat="false" ht="15" hidden="false" customHeight="true" outlineLevel="0" collapsed="false">
      <c r="B20" s="7" t="s">
        <v>61</v>
      </c>
      <c r="C20" s="7" t="s">
        <v>110</v>
      </c>
      <c r="D20" s="30" t="n">
        <f aca="false">SUM(E20:S20)</f>
        <v>0</v>
      </c>
      <c r="E20" s="30" t="n">
        <f aca="false">IF(E$6=01_Annahmen!$C$14,E8*(1+01_Annahmen!$L$30)/(01_Annahmen!$M$30+01_Annahmen!$C$13),0)</f>
        <v>0</v>
      </c>
      <c r="F20" s="30" t="n">
        <f aca="false">IF(F$6=01_Annahmen!$C$14,F8*(1+01_Annahmen!$L$30)/(01_Annahmen!$M$30+01_Annahmen!$C$13),0)</f>
        <v>0</v>
      </c>
      <c r="G20" s="30" t="n">
        <f aca="false">IF(G$6=01_Annahmen!$C$14,G8*(1+01_Annahmen!$L$30)/(01_Annahmen!$M$30+01_Annahmen!$C$13),0)</f>
        <v>0</v>
      </c>
      <c r="H20" s="30" t="n">
        <f aca="false">IF(H$6=01_Annahmen!$C$14,H8*(1+01_Annahmen!$L$30)/(01_Annahmen!$M$30+01_Annahmen!$C$13),0)</f>
        <v>0</v>
      </c>
      <c r="I20" s="30" t="n">
        <f aca="false">IF(I$6=01_Annahmen!$C$14,I8*(1+01_Annahmen!$L$30)/(01_Annahmen!$M$30+01_Annahmen!$C$13),0)</f>
        <v>0</v>
      </c>
      <c r="J20" s="30" t="n">
        <f aca="false">IF(J$6=01_Annahmen!$C$14,J8*(1+01_Annahmen!$L$30)/(01_Annahmen!$M$30+01_Annahmen!$C$13),0)</f>
        <v>0</v>
      </c>
      <c r="K20" s="30" t="n">
        <f aca="false">IF(K$6=01_Annahmen!$C$14,K8*(1+01_Annahmen!$L$30)/(01_Annahmen!$M$30+01_Annahmen!$C$13),0)</f>
        <v>0</v>
      </c>
      <c r="L20" s="30" t="n">
        <f aca="false">IF(L$6=01_Annahmen!$C$14,L8*(1+01_Annahmen!$L$30)/(01_Annahmen!$M$30+01_Annahmen!$C$13),0)</f>
        <v>0</v>
      </c>
      <c r="M20" s="30" t="n">
        <f aca="false">IF(M$6=01_Annahmen!$C$14,M8*(1+01_Annahmen!$L$30)/(01_Annahmen!$M$30+01_Annahmen!$C$13),0)</f>
        <v>0</v>
      </c>
      <c r="N20" s="30" t="n">
        <f aca="false">IF(N$6=01_Annahmen!$C$14,N8*(1+01_Annahmen!$L$30)/(01_Annahmen!$M$30+01_Annahmen!$C$13),0)</f>
        <v>0</v>
      </c>
      <c r="O20" s="30" t="n">
        <f aca="false">IF(O$6=01_Annahmen!$C$14,O8*(1+01_Annahmen!$L$30)/(01_Annahmen!$M$30+01_Annahmen!$C$13),0)</f>
        <v>0</v>
      </c>
      <c r="P20" s="30" t="n">
        <f aca="false">IF(P$6=01_Annahmen!$C$14,P8*(1+01_Annahmen!$L$30)/(01_Annahmen!$M$30+01_Annahmen!$C$13),0)</f>
        <v>0</v>
      </c>
      <c r="Q20" s="30" t="n">
        <f aca="false">IF(Q$6=01_Annahmen!$C$14,Q8*(1+01_Annahmen!$L$30)/(01_Annahmen!$M$30+01_Annahmen!$C$13),0)</f>
        <v>0</v>
      </c>
      <c r="R20" s="30" t="n">
        <f aca="false">IF(R$6=01_Annahmen!$C$14,R8*(1+01_Annahmen!$L$30)/(01_Annahmen!$M$30+01_Annahmen!$C$13),0)</f>
        <v>0</v>
      </c>
      <c r="S20" s="30" t="n">
        <f aca="false">IF(S$6=01_Annahmen!$C$14,S8*(1+01_Annahmen!$L$30)/(01_Annahmen!$M$30+01_Annahmen!$C$13),0)</f>
        <v>0</v>
      </c>
    </row>
    <row r="21" customFormat="false" ht="15.75" hidden="false" customHeight="true" outlineLevel="0" collapsed="false">
      <c r="B21" s="7" t="s">
        <v>61</v>
      </c>
      <c r="C21" s="7" t="s">
        <v>113</v>
      </c>
      <c r="D21" s="30" t="n">
        <f aca="false">SUM(E21:S21)</f>
        <v>37956122.5461396</v>
      </c>
      <c r="E21" s="30" t="n">
        <f aca="false">IF(E$6=01_Annahmen!$C$14,E9*(1+01_Annahmen!$L$31)/(01_Annahmen!$M$31+01_Annahmen!$C$13),0)</f>
        <v>0</v>
      </c>
      <c r="F21" s="30" t="n">
        <f aca="false">IF(F$6=01_Annahmen!$C$14,F9*(1+01_Annahmen!$L$31)/(01_Annahmen!$M$31+01_Annahmen!$C$13),0)</f>
        <v>0</v>
      </c>
      <c r="G21" s="30" t="n">
        <f aca="false">IF(G$6=01_Annahmen!$C$14,G9*(1+01_Annahmen!$L$31)/(01_Annahmen!$M$31+01_Annahmen!$C$13),0)</f>
        <v>0</v>
      </c>
      <c r="H21" s="30" t="n">
        <f aca="false">IF(H$6=01_Annahmen!$C$14,H9*(1+01_Annahmen!$L$31)/(01_Annahmen!$M$31+01_Annahmen!$C$13),0)</f>
        <v>0</v>
      </c>
      <c r="I21" s="30" t="n">
        <f aca="false">IF(I$6=01_Annahmen!$C$14,I9*(1+01_Annahmen!$L$31)/(01_Annahmen!$M$31+01_Annahmen!$C$13),0)</f>
        <v>0</v>
      </c>
      <c r="J21" s="30" t="n">
        <f aca="false">IF(J$6=01_Annahmen!$C$14,J9*(1+01_Annahmen!$L$31)/(01_Annahmen!$M$31+01_Annahmen!$C$13),0)</f>
        <v>0</v>
      </c>
      <c r="K21" s="30" t="n">
        <f aca="false">IF(K$6=01_Annahmen!$C$14,K9*(1+01_Annahmen!$L$31)/(01_Annahmen!$M$31+01_Annahmen!$C$13),0)</f>
        <v>0</v>
      </c>
      <c r="L21" s="30" t="n">
        <f aca="false">IF(L$6=01_Annahmen!$C$14,L9*(1+01_Annahmen!$L$31)/(01_Annahmen!$M$31+01_Annahmen!$C$13),0)</f>
        <v>0</v>
      </c>
      <c r="M21" s="30" t="n">
        <f aca="false">IF(M$6=01_Annahmen!$C$14,M9*(1+01_Annahmen!$L$31)/(01_Annahmen!$M$31+01_Annahmen!$C$13),0)</f>
        <v>0</v>
      </c>
      <c r="N21" s="30" t="n">
        <f aca="false">IF(N$6=01_Annahmen!$C$14,N9*(1+01_Annahmen!$L$31)/(01_Annahmen!$M$31+01_Annahmen!$C$13),0)</f>
        <v>0</v>
      </c>
      <c r="O21" s="30" t="n">
        <f aca="false">IF(O$6=01_Annahmen!$C$14,O9*(1+01_Annahmen!$L$31)/(01_Annahmen!$M$31+01_Annahmen!$C$13),0)</f>
        <v>0</v>
      </c>
      <c r="P21" s="30" t="n">
        <f aca="false">IF(P$6=01_Annahmen!$C$14,P9*(1+01_Annahmen!$L$31)/(01_Annahmen!$M$31+01_Annahmen!$C$13),0)</f>
        <v>0</v>
      </c>
      <c r="Q21" s="30" t="n">
        <f aca="false">IF(Q$6=01_Annahmen!$C$14,Q9*(1+01_Annahmen!$L$31)/(01_Annahmen!$M$31+01_Annahmen!$C$13),0)</f>
        <v>0</v>
      </c>
      <c r="R21" s="30" t="n">
        <f aca="false">IF(R$6=01_Annahmen!$C$14,R9*(1+01_Annahmen!$L$31)/(01_Annahmen!$M$31+01_Annahmen!$C$13),0)</f>
        <v>0</v>
      </c>
      <c r="S21" s="30" t="n">
        <f aca="false">IF(S$6=01_Annahmen!$C$14,S9*(1+01_Annahmen!$L$31)/(01_Annahmen!$M$31+01_Annahmen!$C$13),0)</f>
        <v>37956122.5461396</v>
      </c>
    </row>
    <row r="22" customFormat="false" ht="15.75" hidden="false" customHeight="true" outlineLevel="0" collapsed="false">
      <c r="B22" s="7" t="s">
        <v>61</v>
      </c>
      <c r="C22" s="7" t="s">
        <v>116</v>
      </c>
      <c r="D22" s="30" t="n">
        <f aca="false">SUM(E22:S22)</f>
        <v>39132464.5873271</v>
      </c>
      <c r="E22" s="30" t="n">
        <f aca="false">IF(E$6=01_Annahmen!$C$14,E10*(1+01_Annahmen!$L$32)/(01_Annahmen!$M$32+01_Annahmen!$C$13),0)</f>
        <v>0</v>
      </c>
      <c r="F22" s="30" t="n">
        <f aca="false">IF(F$6=01_Annahmen!$C$14,F10*(1+01_Annahmen!$L$32)/(01_Annahmen!$M$32+01_Annahmen!$C$13),0)</f>
        <v>0</v>
      </c>
      <c r="G22" s="30" t="n">
        <f aca="false">IF(G$6=01_Annahmen!$C$14,G10*(1+01_Annahmen!$L$32)/(01_Annahmen!$M$32+01_Annahmen!$C$13),0)</f>
        <v>0</v>
      </c>
      <c r="H22" s="30" t="n">
        <f aca="false">IF(H$6=01_Annahmen!$C$14,H10*(1+01_Annahmen!$L$32)/(01_Annahmen!$M$32+01_Annahmen!$C$13),0)</f>
        <v>0</v>
      </c>
      <c r="I22" s="30" t="n">
        <f aca="false">IF(I$6=01_Annahmen!$C$14,I10*(1+01_Annahmen!$L$32)/(01_Annahmen!$M$32+01_Annahmen!$C$13),0)</f>
        <v>0</v>
      </c>
      <c r="J22" s="30" t="n">
        <f aca="false">IF(J$6=01_Annahmen!$C$14,J10*(1+01_Annahmen!$L$32)/(01_Annahmen!$M$32+01_Annahmen!$C$13),0)</f>
        <v>0</v>
      </c>
      <c r="K22" s="30" t="n">
        <f aca="false">IF(K$6=01_Annahmen!$C$14,K10*(1+01_Annahmen!$L$32)/(01_Annahmen!$M$32+01_Annahmen!$C$13),0)</f>
        <v>0</v>
      </c>
      <c r="L22" s="30" t="n">
        <f aca="false">IF(L$6=01_Annahmen!$C$14,L10*(1+01_Annahmen!$L$32)/(01_Annahmen!$M$32+01_Annahmen!$C$13),0)</f>
        <v>0</v>
      </c>
      <c r="M22" s="30" t="n">
        <f aca="false">IF(M$6=01_Annahmen!$C$14,M10*(1+01_Annahmen!$L$32)/(01_Annahmen!$M$32+01_Annahmen!$C$13),0)</f>
        <v>0</v>
      </c>
      <c r="N22" s="30" t="n">
        <f aca="false">IF(N$6=01_Annahmen!$C$14,N10*(1+01_Annahmen!$L$32)/(01_Annahmen!$M$32+01_Annahmen!$C$13),0)</f>
        <v>0</v>
      </c>
      <c r="O22" s="30" t="n">
        <f aca="false">IF(O$6=01_Annahmen!$C$14,O10*(1+01_Annahmen!$L$32)/(01_Annahmen!$M$32+01_Annahmen!$C$13),0)</f>
        <v>0</v>
      </c>
      <c r="P22" s="30" t="n">
        <f aca="false">IF(P$6=01_Annahmen!$C$14,P10*(1+01_Annahmen!$L$32)/(01_Annahmen!$M$32+01_Annahmen!$C$13),0)</f>
        <v>0</v>
      </c>
      <c r="Q22" s="30" t="n">
        <f aca="false">IF(Q$6=01_Annahmen!$C$14,Q10*(1+01_Annahmen!$L$32)/(01_Annahmen!$M$32+01_Annahmen!$C$13),0)</f>
        <v>0</v>
      </c>
      <c r="R22" s="30" t="n">
        <f aca="false">IF(R$6=01_Annahmen!$C$14,R10*(1+01_Annahmen!$L$32)/(01_Annahmen!$M$32+01_Annahmen!$C$13),0)</f>
        <v>0</v>
      </c>
      <c r="S22" s="30" t="n">
        <f aca="false">IF(S$6=01_Annahmen!$C$14,S10*(1+01_Annahmen!$L$32)/(01_Annahmen!$M$32+01_Annahmen!$C$13),0)</f>
        <v>39132464.5873271</v>
      </c>
    </row>
    <row r="23" customFormat="false" ht="15.75" hidden="false" customHeight="true" outlineLevel="0" collapsed="false">
      <c r="B23" s="7" t="s">
        <v>61</v>
      </c>
      <c r="C23" s="7" t="s">
        <v>118</v>
      </c>
      <c r="D23" s="30" t="n">
        <f aca="false">SUM(E23:S23)</f>
        <v>0</v>
      </c>
      <c r="E23" s="30" t="n">
        <f aca="false">IF(E$6=01_Annahmen!$C$14,E11*(1+01_Annahmen!$L$33)/(01_Annahmen!$M$33+01_Annahmen!$C$13),0)</f>
        <v>0</v>
      </c>
      <c r="F23" s="30" t="n">
        <f aca="false">IF(F$6=01_Annahmen!$C$14,F11*(1+01_Annahmen!$L$33)/(01_Annahmen!$M$33+01_Annahmen!$C$13),0)</f>
        <v>0</v>
      </c>
      <c r="G23" s="30" t="n">
        <f aca="false">IF(G$6=01_Annahmen!$C$14,G11*(1+01_Annahmen!$L$33)/(01_Annahmen!$M$33+01_Annahmen!$C$13),0)</f>
        <v>0</v>
      </c>
      <c r="H23" s="30" t="n">
        <f aca="false">IF(H$6=01_Annahmen!$C$14,H11*(1+01_Annahmen!$L$33)/(01_Annahmen!$M$33+01_Annahmen!$C$13),0)</f>
        <v>0</v>
      </c>
      <c r="I23" s="30" t="n">
        <f aca="false">IF(I$6=01_Annahmen!$C$14,I11*(1+01_Annahmen!$L$33)/(01_Annahmen!$M$33+01_Annahmen!$C$13),0)</f>
        <v>0</v>
      </c>
      <c r="J23" s="30" t="n">
        <f aca="false">IF(J$6=01_Annahmen!$C$14,J11*(1+01_Annahmen!$L$33)/(01_Annahmen!$M$33+01_Annahmen!$C$13),0)</f>
        <v>0</v>
      </c>
      <c r="K23" s="30" t="n">
        <f aca="false">IF(K$6=01_Annahmen!$C$14,K11*(1+01_Annahmen!$L$33)/(01_Annahmen!$M$33+01_Annahmen!$C$13),0)</f>
        <v>0</v>
      </c>
      <c r="L23" s="30" t="n">
        <f aca="false">IF(L$6=01_Annahmen!$C$14,L11*(1+01_Annahmen!$L$33)/(01_Annahmen!$M$33+01_Annahmen!$C$13),0)</f>
        <v>0</v>
      </c>
      <c r="M23" s="30" t="n">
        <f aca="false">IF(M$6=01_Annahmen!$C$14,M11*(1+01_Annahmen!$L$33)/(01_Annahmen!$M$33+01_Annahmen!$C$13),0)</f>
        <v>0</v>
      </c>
      <c r="N23" s="30" t="n">
        <f aca="false">IF(N$6=01_Annahmen!$C$14,N11*(1+01_Annahmen!$L$33)/(01_Annahmen!$M$33+01_Annahmen!$C$13),0)</f>
        <v>0</v>
      </c>
      <c r="O23" s="30" t="n">
        <f aca="false">IF(O$6=01_Annahmen!$C$14,O11*(1+01_Annahmen!$L$33)/(01_Annahmen!$M$33+01_Annahmen!$C$13),0)</f>
        <v>0</v>
      </c>
      <c r="P23" s="30" t="n">
        <f aca="false">IF(P$6=01_Annahmen!$C$14,P11*(1+01_Annahmen!$L$33)/(01_Annahmen!$M$33+01_Annahmen!$C$13),0)</f>
        <v>0</v>
      </c>
      <c r="Q23" s="30" t="n">
        <f aca="false">IF(Q$6=01_Annahmen!$C$14,Q11*(1+01_Annahmen!$L$33)/(01_Annahmen!$M$33+01_Annahmen!$C$13),0)</f>
        <v>0</v>
      </c>
      <c r="R23" s="30" t="n">
        <f aca="false">IF(R$6=01_Annahmen!$C$14,R11*(1+01_Annahmen!$L$33)/(01_Annahmen!$M$33+01_Annahmen!$C$13),0)</f>
        <v>0</v>
      </c>
      <c r="S23" s="30" t="n">
        <f aca="false">IF(S$6=01_Annahmen!$C$14,S11*(1+01_Annahmen!$L$33)/(01_Annahmen!$M$33+01_Annahmen!$C$13),0)</f>
        <v>0</v>
      </c>
    </row>
    <row r="24" customFormat="false" ht="15.75" hidden="false" customHeight="true" outlineLevel="0" collapsed="false">
      <c r="B24" s="5" t="s">
        <v>196</v>
      </c>
      <c r="D24" s="35" t="n">
        <f aca="false">SUM(D20:D23)</f>
        <v>77088587.1334667</v>
      </c>
      <c r="E24" s="35" t="n">
        <f aca="false">SUM(E20:E23)</f>
        <v>0</v>
      </c>
      <c r="F24" s="35" t="n">
        <f aca="false">SUM(F20:F23)</f>
        <v>0</v>
      </c>
      <c r="G24" s="35" t="n">
        <f aca="false">SUM(G20:G23)</f>
        <v>0</v>
      </c>
      <c r="H24" s="35" t="n">
        <f aca="false">SUM(H20:H23)</f>
        <v>0</v>
      </c>
      <c r="I24" s="35" t="n">
        <f aca="false">SUM(I20:I23)</f>
        <v>0</v>
      </c>
      <c r="J24" s="35" t="n">
        <f aca="false">SUM(J20:J23)</f>
        <v>0</v>
      </c>
      <c r="K24" s="35" t="n">
        <f aca="false">SUM(K20:K23)</f>
        <v>0</v>
      </c>
      <c r="L24" s="35" t="n">
        <f aca="false">SUM(L20:L23)</f>
        <v>0</v>
      </c>
      <c r="M24" s="35" t="n">
        <f aca="false">SUM(M20:M23)</f>
        <v>0</v>
      </c>
      <c r="N24" s="35" t="n">
        <f aca="false">SUM(N20:N23)</f>
        <v>0</v>
      </c>
      <c r="O24" s="35" t="n">
        <f aca="false">SUM(O20:O23)</f>
        <v>0</v>
      </c>
      <c r="P24" s="35" t="n">
        <f aca="false">SUM(P20:P23)</f>
        <v>0</v>
      </c>
      <c r="Q24" s="35" t="n">
        <f aca="false">SUM(Q20:Q23)</f>
        <v>0</v>
      </c>
      <c r="R24" s="35" t="n">
        <f aca="false">SUM(R20:R23)</f>
        <v>0</v>
      </c>
      <c r="S24" s="35" t="n">
        <f aca="false">SUM(S20:S23)</f>
        <v>77088587.1334667</v>
      </c>
    </row>
    <row r="25" customFormat="false" ht="15.75" hidden="false" customHeight="true" outlineLevel="0" collapsed="false">
      <c r="B25" s="32" t="s">
        <v>197</v>
      </c>
      <c r="C25" s="32"/>
      <c r="D25" s="33" t="n">
        <f aca="false">D12+D17+D18+D19+D24</f>
        <v>59243679.5596998</v>
      </c>
      <c r="E25" s="33" t="n">
        <f aca="false">E12+E17+E18+E19+E24</f>
        <v>-47363959</v>
      </c>
      <c r="F25" s="33" t="n">
        <f aca="false">F12+F17+F18+F19+F24</f>
        <v>-6375000</v>
      </c>
      <c r="G25" s="33" t="n">
        <f aca="false">G12+G17+G18+G19+G24</f>
        <v>-39121654</v>
      </c>
      <c r="H25" s="33" t="n">
        <f aca="false">H12+H17+H18+H19+H24</f>
        <v>3462863.8</v>
      </c>
      <c r="I25" s="33" t="n">
        <f aca="false">I12+I17+I18+I19+I24</f>
        <v>-21837276.683</v>
      </c>
      <c r="J25" s="33" t="n">
        <f aca="false">J12+J17+J18+J19+J24</f>
        <v>59966134.2088892</v>
      </c>
      <c r="K25" s="33" t="n">
        <f aca="false">K12+K17+K18+K19+K24</f>
        <v>3598304.25651308</v>
      </c>
      <c r="L25" s="33" t="n">
        <f aca="false">L12+L17+L18+L19+L24</f>
        <v>3626644.40123564</v>
      </c>
      <c r="M25" s="33" t="n">
        <f aca="false">M12+M17+M18+M19+M24</f>
        <v>3655208.07392356</v>
      </c>
      <c r="N25" s="33" t="n">
        <f aca="false">N12+N17+N18+N19+N24</f>
        <v>3683997.04016085</v>
      </c>
      <c r="O25" s="33" t="n">
        <f aca="false">O12+O17+O18+O19+O24</f>
        <v>3713013.07949754</v>
      </c>
      <c r="P25" s="33" t="n">
        <f aca="false">P12+P17+P18+P19+P24</f>
        <v>3742257.98556019</v>
      </c>
      <c r="Q25" s="33" t="n">
        <f aca="false">Q12+Q17+Q18+Q19+Q24</f>
        <v>3771733.56616352</v>
      </c>
      <c r="R25" s="33" t="n">
        <f aca="false">R12+R17+R18+R19+R24</f>
        <v>3801441.64342273</v>
      </c>
      <c r="S25" s="33" t="n">
        <f aca="false">S12+S17+S18+S19+S24</f>
        <v>80919971.1873335</v>
      </c>
    </row>
    <row r="26" customFormat="false" ht="15.75" hidden="false" customHeight="true" outlineLevel="0" collapsed="false">
      <c r="B26" s="7" t="s">
        <v>198</v>
      </c>
      <c r="E26" s="37" t="n">
        <f aca="false">1/(1+01_Annahmen!$C$12)^(E$6-2026)</f>
        <v>1</v>
      </c>
      <c r="F26" s="37" t="n">
        <f aca="false">1/(1+01_Annahmen!$C$12)^(F$6-2026)</f>
        <v>0.93766509903799</v>
      </c>
      <c r="G26" s="37" t="n">
        <f aca="false">1/(1+01_Annahmen!$C$12)^(G$6-2026)</f>
        <v>0.879215837953923</v>
      </c>
      <c r="H26" s="37" t="n">
        <f aca="false">1/(1+01_Annahmen!$C$12)^(H$6-2026)</f>
        <v>0.824410005770835</v>
      </c>
      <c r="I26" s="37" t="n">
        <f aca="false">1/(1+01_Annahmen!$C$12)^(I$6-2026)</f>
        <v>0.77302048970902</v>
      </c>
      <c r="J26" s="37" t="n">
        <f aca="false">1/(1+01_Annahmen!$C$12)^(J$6-2026)</f>
        <v>0.724834334041404</v>
      </c>
      <c r="K26" s="37" t="n">
        <f aca="false">1/(1+01_Annahmen!$C$12)^(K$6-2026)</f>
        <v>0.679651857615068</v>
      </c>
      <c r="L26" s="37" t="n">
        <f aca="false">1/(1+01_Annahmen!$C$12)^(L$6-2026)</f>
        <v>0.637285826381987</v>
      </c>
      <c r="M26" s="37" t="n">
        <f aca="false">1/(1+01_Annahmen!$C$12)^(M$6-2026)</f>
        <v>0.597560677509973</v>
      </c>
      <c r="N26" s="37" t="n">
        <f aca="false">1/(1+01_Annahmen!$C$12)^(N$6-2026)</f>
        <v>0.560311791858597</v>
      </c>
      <c r="O26" s="37" t="n">
        <f aca="false">1/(1+01_Annahmen!$C$12)^(O$6-2026)</f>
        <v>0.525384811805245</v>
      </c>
      <c r="P26" s="37" t="n">
        <f aca="false">1/(1+01_Annahmen!$C$12)^(P$6-2026)</f>
        <v>0.492635001594421</v>
      </c>
      <c r="Q26" s="37" t="n">
        <f aca="false">1/(1+01_Annahmen!$C$12)^(Q$6-2026)</f>
        <v>0.461926647559613</v>
      </c>
      <c r="R26" s="37" t="n">
        <f aca="false">1/(1+01_Annahmen!$C$12)^(R$6-2026)</f>
        <v>0.433132495732271</v>
      </c>
      <c r="S26" s="37" t="n">
        <f aca="false">1/(1+01_Annahmen!$C$12)^(S$6-2026)</f>
        <v>0.406133224507372</v>
      </c>
    </row>
    <row r="27" customFormat="false" ht="15.75" hidden="false" customHeight="true" outlineLevel="0" collapsed="false">
      <c r="B27" s="7" t="s">
        <v>199</v>
      </c>
      <c r="D27" s="35" t="n">
        <f aca="false">SUM(E27:S27)</f>
        <v>-9245673.843396</v>
      </c>
      <c r="E27" s="30" t="n">
        <f aca="false">E25*E26</f>
        <v>-47363959</v>
      </c>
      <c r="F27" s="30" t="n">
        <f aca="false">F25*F26</f>
        <v>-5977615.00636719</v>
      </c>
      <c r="G27" s="30" t="n">
        <f aca="false">G25*G26</f>
        <v>-34396377.8037535</v>
      </c>
      <c r="H27" s="30" t="n">
        <f aca="false">H25*H26</f>
        <v>2854819.56534162</v>
      </c>
      <c r="I27" s="30" t="n">
        <f aca="false">I25*I26</f>
        <v>-16880662.315404</v>
      </c>
      <c r="J27" s="30" t="n">
        <f aca="false">J25*J26</f>
        <v>43465512.9543377</v>
      </c>
      <c r="K27" s="30" t="n">
        <f aca="false">K25*K26</f>
        <v>2445594.17220332</v>
      </c>
      <c r="L27" s="30" t="n">
        <f aca="false">L25*L26</f>
        <v>2311209.07423506</v>
      </c>
      <c r="M27" s="30" t="n">
        <f aca="false">M25*M26</f>
        <v>2184208.61309368</v>
      </c>
      <c r="N27" s="30" t="n">
        <f aca="false">N25*N26</f>
        <v>2064186.9827743</v>
      </c>
      <c r="O27" s="30" t="n">
        <f aca="false">O25*O26</f>
        <v>1950760.67800223</v>
      </c>
      <c r="P27" s="30" t="n">
        <f aca="false">P25*P26</f>
        <v>1843567.26868318</v>
      </c>
      <c r="Q27" s="30" t="n">
        <f aca="false">Q25*Q26</f>
        <v>1742264.24170598</v>
      </c>
      <c r="R27" s="30" t="n">
        <f aca="false">R25*R26</f>
        <v>1646527.90639627</v>
      </c>
      <c r="S27" s="30" t="n">
        <f aca="false">S25*S26</f>
        <v>32864288.8253554</v>
      </c>
    </row>
    <row r="28" customFormat="false" ht="15.75" hidden="false" customHeight="true" outlineLevel="0" collapsed="false"/>
    <row r="29" customFormat="false" ht="15.75" hidden="false" customHeight="true" outlineLevel="0" collapsed="false">
      <c r="B29" s="4" t="s">
        <v>200</v>
      </c>
    </row>
    <row r="30" customFormat="false" ht="15.75" hidden="false" customHeight="true" outlineLevel="0" collapsed="false">
      <c r="B30" s="7" t="s">
        <v>201</v>
      </c>
      <c r="D30" s="30" t="n">
        <f aca="false">SUM(E30:S30)</f>
        <v>120888684</v>
      </c>
      <c r="E30" s="30" t="n">
        <f aca="false">-E18</f>
        <v>1262500</v>
      </c>
      <c r="F30" s="30" t="n">
        <f aca="false">-F18</f>
        <v>6375000</v>
      </c>
      <c r="G30" s="30" t="n">
        <f aca="false">-G18</f>
        <v>39121654</v>
      </c>
      <c r="H30" s="30" t="n">
        <f aca="false">-H18</f>
        <v>30720324.2</v>
      </c>
      <c r="I30" s="30" t="n">
        <f aca="false">-I18</f>
        <v>23667789.3</v>
      </c>
      <c r="J30" s="30" t="n">
        <f aca="false">-J18</f>
        <v>19741416.5</v>
      </c>
      <c r="K30" s="30" t="n">
        <f aca="false">-K18</f>
        <v>0</v>
      </c>
      <c r="L30" s="30" t="n">
        <f aca="false">-L18</f>
        <v>0</v>
      </c>
      <c r="M30" s="30" t="n">
        <f aca="false">-M18</f>
        <v>0</v>
      </c>
      <c r="N30" s="30" t="n">
        <f aca="false">-N18</f>
        <v>0</v>
      </c>
      <c r="O30" s="30" t="n">
        <f aca="false">-O18</f>
        <v>0</v>
      </c>
      <c r="P30" s="30" t="n">
        <f aca="false">-P18</f>
        <v>0</v>
      </c>
      <c r="Q30" s="30" t="n">
        <f aca="false">-Q18</f>
        <v>0</v>
      </c>
      <c r="R30" s="30" t="n">
        <f aca="false">-R18</f>
        <v>0</v>
      </c>
      <c r="S30" s="30" t="n">
        <f aca="false">-S18</f>
        <v>0</v>
      </c>
    </row>
    <row r="31" customFormat="false" ht="15.75" hidden="false" customHeight="true" outlineLevel="0" collapsed="false">
      <c r="B31" s="7" t="s">
        <v>202</v>
      </c>
      <c r="D31" s="30" t="n">
        <f aca="false">SUM(E31:S31)</f>
        <v>10000000</v>
      </c>
      <c r="E31" s="8" t="n">
        <f aca="false">03_Investitionen!E17</f>
        <v>1262500</v>
      </c>
      <c r="F31" s="8" t="n">
        <f aca="false">03_Investitionen!F17</f>
        <v>5675000</v>
      </c>
      <c r="G31" s="8" t="n">
        <f aca="false">03_Investitionen!G17</f>
        <v>3062500</v>
      </c>
      <c r="H31" s="8" t="n">
        <f aca="false">03_Investitionen!H17</f>
        <v>0</v>
      </c>
      <c r="I31" s="8" t="n">
        <f aca="false">03_Investitionen!I17</f>
        <v>0</v>
      </c>
      <c r="J31" s="8" t="n">
        <f aca="false">03_Investitionen!J17</f>
        <v>0</v>
      </c>
      <c r="K31" s="8" t="n">
        <f aca="false">03_Investitionen!K17</f>
        <v>0</v>
      </c>
      <c r="L31" s="8" t="n">
        <f aca="false">03_Investitionen!L17</f>
        <v>0</v>
      </c>
      <c r="M31" s="8" t="n">
        <f aca="false">03_Investitionen!M17</f>
        <v>0</v>
      </c>
      <c r="N31" s="8" t="n">
        <f aca="false">03_Investitionen!N17</f>
        <v>0</v>
      </c>
      <c r="O31" s="8" t="n">
        <f aca="false">03_Investitionen!O17</f>
        <v>0</v>
      </c>
      <c r="P31" s="8" t="n">
        <f aca="false">03_Investitionen!P17</f>
        <v>0</v>
      </c>
      <c r="Q31" s="8" t="n">
        <f aca="false">03_Investitionen!Q17</f>
        <v>0</v>
      </c>
      <c r="R31" s="8" t="n">
        <f aca="false">03_Investitionen!R17</f>
        <v>0</v>
      </c>
      <c r="S31" s="8" t="n">
        <f aca="false">03_Investitionen!S17</f>
        <v>0</v>
      </c>
    </row>
    <row r="32" customFormat="false" ht="15.75" hidden="false" customHeight="true" outlineLevel="0" collapsed="false">
      <c r="B32" s="7" t="s">
        <v>203</v>
      </c>
      <c r="D32" s="30" t="n">
        <f aca="false">SUM(E32:S32)</f>
        <v>10000000</v>
      </c>
      <c r="E32" s="30" t="n">
        <f aca="false">IF(E$6&lt;=01_Annahmen!$C$28,MIN(E31,01_Annahmen!$C$27-0),0)</f>
        <v>1262500</v>
      </c>
      <c r="F32" s="30" t="n">
        <f aca="false">IF(F$6&lt;=01_Annahmen!$C$28,MIN(F31,01_Annahmen!$C$27-SUM($E32:E32)),0)</f>
        <v>5675000</v>
      </c>
      <c r="G32" s="30" t="n">
        <f aca="false">IF(G$6&lt;=01_Annahmen!$C$28,MIN(G31,01_Annahmen!$C$27-SUM($E32:F32)),0)</f>
        <v>3062500</v>
      </c>
      <c r="H32" s="30" t="n">
        <f aca="false">IF(H$6&lt;=01_Annahmen!$C$28,MIN(H31,01_Annahmen!$C$27-SUM($E32:G32)),0)</f>
        <v>0</v>
      </c>
      <c r="I32" s="30" t="n">
        <f aca="false">IF(I$6&lt;=01_Annahmen!$C$28,MIN(I31,01_Annahmen!$C$27-SUM($E32:H32)),0)</f>
        <v>0</v>
      </c>
      <c r="J32" s="30" t="n">
        <f aca="false">IF(J$6&lt;=01_Annahmen!$C$28,MIN(J31,01_Annahmen!$C$27-SUM($E32:I32)),0)</f>
        <v>0</v>
      </c>
      <c r="K32" s="30" t="n">
        <f aca="false">IF(K$6&lt;=01_Annahmen!$C$28,MIN(K31,01_Annahmen!$C$27-SUM($E32:J32)),0)</f>
        <v>0</v>
      </c>
      <c r="L32" s="30" t="n">
        <f aca="false">IF(L$6&lt;=01_Annahmen!$C$28,MIN(L31,01_Annahmen!$C$27-SUM($E32:K32)),0)</f>
        <v>0</v>
      </c>
      <c r="M32" s="30" t="n">
        <f aca="false">IF(M$6&lt;=01_Annahmen!$C$28,MIN(M31,01_Annahmen!$C$27-SUM($E32:L32)),0)</f>
        <v>0</v>
      </c>
      <c r="N32" s="30" t="n">
        <f aca="false">IF(N$6&lt;=01_Annahmen!$C$28,MIN(N31,01_Annahmen!$C$27-SUM($E32:M32)),0)</f>
        <v>0</v>
      </c>
      <c r="O32" s="30" t="n">
        <f aca="false">IF(O$6&lt;=01_Annahmen!$C$28,MIN(O31,01_Annahmen!$C$27-SUM($E32:N32)),0)</f>
        <v>0</v>
      </c>
      <c r="P32" s="30" t="n">
        <f aca="false">IF(P$6&lt;=01_Annahmen!$C$28,MIN(P31,01_Annahmen!$C$27-SUM($E32:O32)),0)</f>
        <v>0</v>
      </c>
      <c r="Q32" s="30" t="n">
        <f aca="false">IF(Q$6&lt;=01_Annahmen!$C$28,MIN(Q31,01_Annahmen!$C$27-SUM($E32:P32)),0)</f>
        <v>0</v>
      </c>
      <c r="R32" s="30" t="n">
        <f aca="false">IF(R$6&lt;=01_Annahmen!$C$28,MIN(R31,01_Annahmen!$C$27-SUM($E32:Q32)),0)</f>
        <v>0</v>
      </c>
      <c r="S32" s="30" t="n">
        <f aca="false">IF(S$6&lt;=01_Annahmen!$C$28,MIN(S31,01_Annahmen!$C$27-SUM($E32:R32)),0)</f>
        <v>0</v>
      </c>
    </row>
    <row r="33" customFormat="false" ht="15.75" hidden="false" customHeight="true" outlineLevel="0" collapsed="false">
      <c r="B33" s="7" t="s">
        <v>204</v>
      </c>
      <c r="D33" s="30" t="n">
        <f aca="false">SUM(E33:S33)</f>
        <v>297000</v>
      </c>
      <c r="E33" s="30" t="n">
        <f aca="false">01_Annahmen!$C$20*(0+E32/2)</f>
        <v>14203.125</v>
      </c>
      <c r="F33" s="30" t="n">
        <f aca="false">01_Annahmen!$C$20*(E35+F32/2)</f>
        <v>92250</v>
      </c>
      <c r="G33" s="30" t="n">
        <f aca="false">01_Annahmen!$C$20*(F35+G32/2)</f>
        <v>190546.875</v>
      </c>
      <c r="H33" s="30" t="n">
        <f aca="false">01_Annahmen!$C$20*(G35+H32/2)</f>
        <v>0</v>
      </c>
      <c r="I33" s="30" t="n">
        <f aca="false">01_Annahmen!$C$20*(H35+I32/2)</f>
        <v>0</v>
      </c>
      <c r="J33" s="30" t="n">
        <f aca="false">01_Annahmen!$C$20*(I35+J32/2)</f>
        <v>0</v>
      </c>
      <c r="K33" s="30" t="n">
        <f aca="false">01_Annahmen!$C$20*(J35+K32/2)</f>
        <v>0</v>
      </c>
      <c r="L33" s="30" t="n">
        <f aca="false">01_Annahmen!$C$20*(K35+L32/2)</f>
        <v>0</v>
      </c>
      <c r="M33" s="30" t="n">
        <f aca="false">01_Annahmen!$C$20*(L35+M32/2)</f>
        <v>0</v>
      </c>
      <c r="N33" s="30" t="n">
        <f aca="false">01_Annahmen!$C$20*(M35+N32/2)</f>
        <v>0</v>
      </c>
      <c r="O33" s="30" t="n">
        <f aca="false">01_Annahmen!$C$20*(N35+O32/2)</f>
        <v>0</v>
      </c>
      <c r="P33" s="30" t="n">
        <f aca="false">01_Annahmen!$C$20*(O35+P32/2)</f>
        <v>0</v>
      </c>
      <c r="Q33" s="30" t="n">
        <f aca="false">01_Annahmen!$C$20*(P35+Q32/2)</f>
        <v>0</v>
      </c>
      <c r="R33" s="30" t="n">
        <f aca="false">01_Annahmen!$C$20*(Q35+R32/2)</f>
        <v>0</v>
      </c>
      <c r="S33" s="30" t="n">
        <f aca="false">01_Annahmen!$C$20*(R35+S32/2)</f>
        <v>0</v>
      </c>
    </row>
    <row r="34" customFormat="false" ht="15.75" hidden="false" customHeight="true" outlineLevel="0" collapsed="false">
      <c r="B34" s="7" t="s">
        <v>205</v>
      </c>
      <c r="D34" s="30" t="n">
        <f aca="false">SUM(E34:S34)</f>
        <v>10000000</v>
      </c>
      <c r="E34" s="30" t="n">
        <f aca="false">IF(E$6=01_Annahmen!$C$28,0+E32,0)</f>
        <v>0</v>
      </c>
      <c r="F34" s="30" t="n">
        <f aca="false">IF(F$6=01_Annahmen!$C$28,E35+F32,0)</f>
        <v>0</v>
      </c>
      <c r="G34" s="30" t="n">
        <f aca="false">IF(G$6=01_Annahmen!$C$28,F35+G32,0)</f>
        <v>10000000</v>
      </c>
      <c r="H34" s="30" t="n">
        <f aca="false">IF(H$6=01_Annahmen!$C$28,G35+H32,0)</f>
        <v>0</v>
      </c>
      <c r="I34" s="30" t="n">
        <f aca="false">IF(I$6=01_Annahmen!$C$28,H35+I32,0)</f>
        <v>0</v>
      </c>
      <c r="J34" s="30" t="n">
        <f aca="false">IF(J$6=01_Annahmen!$C$28,I35+J32,0)</f>
        <v>0</v>
      </c>
      <c r="K34" s="30" t="n">
        <f aca="false">IF(K$6=01_Annahmen!$C$28,J35+K32,0)</f>
        <v>0</v>
      </c>
      <c r="L34" s="30" t="n">
        <f aca="false">IF(L$6=01_Annahmen!$C$28,K35+L32,0)</f>
        <v>0</v>
      </c>
      <c r="M34" s="30" t="n">
        <f aca="false">IF(M$6=01_Annahmen!$C$28,L35+M32,0)</f>
        <v>0</v>
      </c>
      <c r="N34" s="30" t="n">
        <f aca="false">IF(N$6=01_Annahmen!$C$28,M35+N32,0)</f>
        <v>0</v>
      </c>
      <c r="O34" s="30" t="n">
        <f aca="false">IF(O$6=01_Annahmen!$C$28,N35+O32,0)</f>
        <v>0</v>
      </c>
      <c r="P34" s="30" t="n">
        <f aca="false">IF(P$6=01_Annahmen!$C$28,O35+P32,0)</f>
        <v>0</v>
      </c>
      <c r="Q34" s="30" t="n">
        <f aca="false">IF(Q$6=01_Annahmen!$C$28,P35+Q32,0)</f>
        <v>0</v>
      </c>
      <c r="R34" s="30" t="n">
        <f aca="false">IF(R$6=01_Annahmen!$C$28,Q35+R32,0)</f>
        <v>0</v>
      </c>
      <c r="S34" s="30" t="n">
        <f aca="false">IF(S$6=01_Annahmen!$C$28,R35+S32,0)</f>
        <v>0</v>
      </c>
    </row>
    <row r="35" customFormat="false" ht="15.75" hidden="false" customHeight="true" outlineLevel="0" collapsed="false">
      <c r="B35" s="5" t="s">
        <v>206</v>
      </c>
      <c r="E35" s="35" t="n">
        <f aca="false">0+E32-E34</f>
        <v>1262500</v>
      </c>
      <c r="F35" s="35" t="n">
        <f aca="false">E35+F32-F34</f>
        <v>6937500</v>
      </c>
      <c r="G35" s="35" t="n">
        <f aca="false">F35+G32-G34</f>
        <v>0</v>
      </c>
      <c r="H35" s="35" t="n">
        <f aca="false">G35+H32-H34</f>
        <v>0</v>
      </c>
      <c r="I35" s="35" t="n">
        <f aca="false">H35+I32-I34</f>
        <v>0</v>
      </c>
      <c r="J35" s="35" t="n">
        <f aca="false">I35+J32-J34</f>
        <v>0</v>
      </c>
      <c r="K35" s="35" t="n">
        <f aca="false">J35+K32-K34</f>
        <v>0</v>
      </c>
      <c r="L35" s="35" t="n">
        <f aca="false">K35+L32-L34</f>
        <v>0</v>
      </c>
      <c r="M35" s="35" t="n">
        <f aca="false">L35+M32-M34</f>
        <v>0</v>
      </c>
      <c r="N35" s="35" t="n">
        <f aca="false">M35+N32-N34</f>
        <v>0</v>
      </c>
      <c r="O35" s="35" t="n">
        <f aca="false">N35+O32-O34</f>
        <v>0</v>
      </c>
      <c r="P35" s="35" t="n">
        <f aca="false">O35+P32-P34</f>
        <v>0</v>
      </c>
      <c r="Q35" s="35" t="n">
        <f aca="false">P35+Q32-Q34</f>
        <v>0</v>
      </c>
      <c r="R35" s="35" t="n">
        <f aca="false">Q35+R32-R34</f>
        <v>0</v>
      </c>
      <c r="S35" s="35" t="n">
        <f aca="false">R35+S32-S34</f>
        <v>0</v>
      </c>
    </row>
    <row r="36" customFormat="false" ht="15.75" hidden="false" customHeight="true" outlineLevel="0" collapsed="false">
      <c r="B36" s="7" t="s">
        <v>207</v>
      </c>
      <c r="D36" s="30" t="n">
        <f aca="false">SUM(E36:S36)</f>
        <v>111185684</v>
      </c>
      <c r="E36" s="30" t="n">
        <f aca="false">E30-E32+E33</f>
        <v>14203.125</v>
      </c>
      <c r="F36" s="30" t="n">
        <f aca="false">F30-F32+F33</f>
        <v>792250</v>
      </c>
      <c r="G36" s="30" t="n">
        <f aca="false">G30-G32+G33</f>
        <v>36249700.875</v>
      </c>
      <c r="H36" s="30" t="n">
        <f aca="false">H30-H32+H33</f>
        <v>30720324.2</v>
      </c>
      <c r="I36" s="30" t="n">
        <f aca="false">I30-I32+I33</f>
        <v>23667789.3</v>
      </c>
      <c r="J36" s="30" t="n">
        <f aca="false">J30-J32+J33</f>
        <v>19741416.5</v>
      </c>
      <c r="K36" s="30" t="n">
        <f aca="false">K30-K32+K33</f>
        <v>0</v>
      </c>
      <c r="L36" s="30" t="n">
        <f aca="false">L30-L32+L33</f>
        <v>0</v>
      </c>
      <c r="M36" s="30" t="n">
        <f aca="false">M30-M32+M33</f>
        <v>0</v>
      </c>
      <c r="N36" s="30" t="n">
        <f aca="false">N30-N32+N33</f>
        <v>0</v>
      </c>
      <c r="O36" s="30" t="n">
        <f aca="false">O30-O32+O33</f>
        <v>0</v>
      </c>
      <c r="P36" s="30" t="n">
        <f aca="false">P30-P32+P33</f>
        <v>0</v>
      </c>
      <c r="Q36" s="30" t="n">
        <f aca="false">Q30-Q32+Q33</f>
        <v>0</v>
      </c>
      <c r="R36" s="30" t="n">
        <f aca="false">R30-R32+R33</f>
        <v>0</v>
      </c>
      <c r="S36" s="30" t="n">
        <f aca="false">S30-S32+S33</f>
        <v>0</v>
      </c>
    </row>
    <row r="37" customFormat="false" ht="15.75" hidden="false" customHeight="true" outlineLevel="0" collapsed="false">
      <c r="B37" s="7" t="s">
        <v>208</v>
      </c>
      <c r="D37" s="35" t="n">
        <f aca="false">MAX(0,01_Annahmen!$C$19*03_Investitionen!$D$19-01_Annahmen!$C$25)</f>
        <v>3995583.90000001</v>
      </c>
    </row>
    <row r="38" customFormat="false" ht="15.75" hidden="false" customHeight="true" outlineLevel="0" collapsed="false">
      <c r="B38" s="7" t="s">
        <v>209</v>
      </c>
      <c r="D38" s="30" t="n">
        <f aca="false">SUM(E38:S38)</f>
        <v>3995583.90000001</v>
      </c>
      <c r="E38" s="30" t="n">
        <f aca="false">MIN(E36,$D$37-0)</f>
        <v>14203.125</v>
      </c>
      <c r="F38" s="30" t="n">
        <f aca="false">MIN(F36,$D$37-SUM($E38:E38))</f>
        <v>792250</v>
      </c>
      <c r="G38" s="30" t="n">
        <f aca="false">MIN(G36,$D$37-SUM($E38:F38))</f>
        <v>3189130.77500001</v>
      </c>
      <c r="H38" s="30" t="n">
        <f aca="false">MIN(H36,$D$37-SUM($E38:G38))</f>
        <v>0</v>
      </c>
      <c r="I38" s="30" t="n">
        <f aca="false">MIN(I36,$D$37-SUM($E38:H38))</f>
        <v>0</v>
      </c>
      <c r="J38" s="30" t="n">
        <f aca="false">MIN(J36,$D$37-SUM($E38:I38))</f>
        <v>0</v>
      </c>
      <c r="K38" s="30" t="n">
        <f aca="false">MIN(K36,$D$37-SUM($E38:J38))</f>
        <v>0</v>
      </c>
      <c r="L38" s="30" t="n">
        <f aca="false">MIN(L36,$D$37-SUM($E38:K38))</f>
        <v>0</v>
      </c>
      <c r="M38" s="30" t="n">
        <f aca="false">MIN(M36,$D$37-SUM($E38:L38))</f>
        <v>0</v>
      </c>
      <c r="N38" s="30" t="n">
        <f aca="false">MIN(N36,$D$37-SUM($E38:M38))</f>
        <v>0</v>
      </c>
      <c r="O38" s="30" t="n">
        <f aca="false">MIN(O36,$D$37-SUM($E38:N38))</f>
        <v>0</v>
      </c>
      <c r="P38" s="30" t="n">
        <f aca="false">MIN(P36,$D$37-SUM($E38:O38))</f>
        <v>0</v>
      </c>
      <c r="Q38" s="30" t="n">
        <f aca="false">MIN(Q36,$D$37-SUM($E38:P38))</f>
        <v>0</v>
      </c>
      <c r="R38" s="30" t="n">
        <f aca="false">MIN(R36,$D$37-SUM($E38:Q38))</f>
        <v>0</v>
      </c>
      <c r="S38" s="30" t="n">
        <f aca="false">MIN(S36,$D$37-SUM($E38:R38))</f>
        <v>0</v>
      </c>
    </row>
    <row r="39" customFormat="false" ht="15.75" hidden="false" customHeight="true" outlineLevel="0" collapsed="false">
      <c r="B39" s="7" t="s">
        <v>210</v>
      </c>
      <c r="D39" s="30" t="n">
        <f aca="false">SUM(E39:S39)</f>
        <v>117190100.1</v>
      </c>
      <c r="E39" s="30" t="n">
        <f aca="false">E36-E38+E34</f>
        <v>0</v>
      </c>
      <c r="F39" s="30" t="n">
        <f aca="false">F36-F38+F34</f>
        <v>0</v>
      </c>
      <c r="G39" s="30" t="n">
        <f aca="false">G36-G38+G34</f>
        <v>43060570.1</v>
      </c>
      <c r="H39" s="30" t="n">
        <f aca="false">H36-H38+H34</f>
        <v>30720324.2</v>
      </c>
      <c r="I39" s="30" t="n">
        <f aca="false">I36-I38+I34</f>
        <v>23667789.3</v>
      </c>
      <c r="J39" s="30" t="n">
        <f aca="false">J36-J38+J34</f>
        <v>19741416.5</v>
      </c>
      <c r="K39" s="30" t="n">
        <f aca="false">K36-K38+K34</f>
        <v>0</v>
      </c>
      <c r="L39" s="30" t="n">
        <f aca="false">L36-L38+L34</f>
        <v>0</v>
      </c>
      <c r="M39" s="30" t="n">
        <f aca="false">M36-M38+M34</f>
        <v>0</v>
      </c>
      <c r="N39" s="30" t="n">
        <f aca="false">N36-N38+N34</f>
        <v>0</v>
      </c>
      <c r="O39" s="30" t="n">
        <f aca="false">O36-O38+O34</f>
        <v>0</v>
      </c>
      <c r="P39" s="30" t="n">
        <f aca="false">P36-P38+P34</f>
        <v>0</v>
      </c>
      <c r="Q39" s="30" t="n">
        <f aca="false">Q36-Q38+Q34</f>
        <v>0</v>
      </c>
      <c r="R39" s="30" t="n">
        <f aca="false">R36-R38+R34</f>
        <v>0</v>
      </c>
      <c r="S39" s="30" t="n">
        <f aca="false">S36-S38+S34</f>
        <v>0</v>
      </c>
    </row>
    <row r="40" customFormat="false" ht="15.75" hidden="false" customHeight="true" outlineLevel="0" collapsed="false">
      <c r="B40" s="7" t="s">
        <v>211</v>
      </c>
      <c r="D40" s="30" t="n">
        <f aca="false">SUM(E40:S40)</f>
        <v>6085834.12724689</v>
      </c>
      <c r="E40" s="30" t="n">
        <f aca="false">01_Annahmen!$C$20*(0+(E39-E34)/2)</f>
        <v>0</v>
      </c>
      <c r="F40" s="30" t="n">
        <f aca="false">01_Annahmen!$C$20*(E44+(F39-F34)/2)</f>
        <v>0</v>
      </c>
      <c r="G40" s="30" t="n">
        <f aca="false">01_Annahmen!$C$20*(F44+(G39-G34)/2)</f>
        <v>371931.413625</v>
      </c>
      <c r="H40" s="30" t="n">
        <f aca="false">01_Annahmen!$C$20*(G44+(H39-H34)/2)</f>
        <v>1322834.93130656</v>
      </c>
      <c r="I40" s="30" t="n">
        <f aca="false">01_Annahmen!$C$20*(H44+(I39-I34)/2)</f>
        <v>1195343.26413596</v>
      </c>
      <c r="J40" s="30" t="n">
        <f aca="false">01_Annahmen!$C$20*(I44+(J39-J34)/2)</f>
        <v>1683696.82938596</v>
      </c>
      <c r="K40" s="30" t="n">
        <f aca="false">01_Annahmen!$C$20*(J44+(K39-K34)/2)</f>
        <v>173287.76501096</v>
      </c>
      <c r="L40" s="30" t="n">
        <f aca="false">01_Annahmen!$C$20*(K44+(L39-L34)/2)</f>
        <v>173287.76501096</v>
      </c>
      <c r="M40" s="30" t="n">
        <f aca="false">01_Annahmen!$C$20*(L44+(M39-M34)/2)</f>
        <v>171554.88736085</v>
      </c>
      <c r="N40" s="30" t="n">
        <f aca="false">01_Annahmen!$C$20*(M44+(N39-N34)/2)</f>
        <v>169839.338487242</v>
      </c>
      <c r="O40" s="30" t="n">
        <f aca="false">01_Annahmen!$C$20*(N44+(O39-O34)/2)</f>
        <v>168140.945102369</v>
      </c>
      <c r="P40" s="30" t="n">
        <f aca="false">01_Annahmen!$C$20*(O44+(P39-P34)/2)</f>
        <v>166459.535651346</v>
      </c>
      <c r="Q40" s="30" t="n">
        <f aca="false">01_Annahmen!$C$20*(P44+(Q39-Q34)/2)</f>
        <v>164794.940294832</v>
      </c>
      <c r="R40" s="30" t="n">
        <f aca="false">01_Annahmen!$C$20*(Q44+(R39-R34)/2)</f>
        <v>163146.990891884</v>
      </c>
      <c r="S40" s="30" t="n">
        <f aca="false">01_Annahmen!$C$20*(R44+(S39-S34)/2)</f>
        <v>161515.520982965</v>
      </c>
    </row>
    <row r="41" customFormat="false" ht="15.75" hidden="false" customHeight="true" outlineLevel="0" collapsed="false">
      <c r="B41" s="7" t="s">
        <v>212</v>
      </c>
      <c r="D41" s="30" t="n">
        <f aca="false">SUM(E41:S41)</f>
        <v>594995.521681088</v>
      </c>
      <c r="E41" s="30" t="n">
        <f aca="false">IF(E$6&gt;=01_Annahmen!$C$23,MIN(01_Annahmen!$C$22*0,0),0)</f>
        <v>0</v>
      </c>
      <c r="F41" s="30" t="n">
        <f aca="false">IF(F$6&gt;=01_Annahmen!$C$23,MIN(01_Annahmen!$C$22*E44,E44),0)</f>
        <v>0</v>
      </c>
      <c r="G41" s="30" t="n">
        <f aca="false">IF(G$6&gt;=01_Annahmen!$C$23,MIN(01_Annahmen!$C$22*F44,F44),0)</f>
        <v>0</v>
      </c>
      <c r="H41" s="30" t="n">
        <f aca="false">IF(H$6&gt;=01_Annahmen!$C$23,MIN(01_Annahmen!$C$22*G44,G44),0)</f>
        <v>0</v>
      </c>
      <c r="I41" s="30" t="n">
        <f aca="false">IF(I$6&gt;=01_Annahmen!$C$23,MIN(01_Annahmen!$C$22*H44,H44),0)</f>
        <v>0</v>
      </c>
      <c r="J41" s="30" t="n">
        <f aca="false">IF(J$6&gt;=01_Annahmen!$C$23,MIN(01_Annahmen!$C$22*I44,I44),0)</f>
        <v>0</v>
      </c>
      <c r="K41" s="30" t="n">
        <f aca="false">IF(K$6&gt;=01_Annahmen!$C$23,MIN(01_Annahmen!$C$22*J44,J44),0)</f>
        <v>0</v>
      </c>
      <c r="L41" s="30" t="n">
        <f aca="false">IF(L$6&gt;=01_Annahmen!$C$23,MIN(01_Annahmen!$C$22*K44,K44),0)</f>
        <v>77016.7844493155</v>
      </c>
      <c r="M41" s="30" t="n">
        <f aca="false">IF(M$6&gt;=01_Annahmen!$C$23,MIN(01_Annahmen!$C$22*L44,L44),0)</f>
        <v>76246.6166048224</v>
      </c>
      <c r="N41" s="30" t="n">
        <f aca="false">IF(N$6&gt;=01_Annahmen!$C$23,MIN(01_Annahmen!$C$22*M44,M44),0)</f>
        <v>75484.1504387741</v>
      </c>
      <c r="O41" s="30" t="n">
        <f aca="false">IF(O$6&gt;=01_Annahmen!$C$23,MIN(01_Annahmen!$C$22*N44,N44),0)</f>
        <v>74729.3089343864</v>
      </c>
      <c r="P41" s="30" t="n">
        <f aca="false">IF(P$6&gt;=01_Annahmen!$C$23,MIN(01_Annahmen!$C$22*O44,O44),0)</f>
        <v>73982.0158450425</v>
      </c>
      <c r="Q41" s="30" t="n">
        <f aca="false">IF(Q$6&gt;=01_Annahmen!$C$23,MIN(01_Annahmen!$C$22*P44,P44),0)</f>
        <v>73242.1956865921</v>
      </c>
      <c r="R41" s="30" t="n">
        <f aca="false">IF(R$6&gt;=01_Annahmen!$C$23,MIN(01_Annahmen!$C$22*Q44,Q44),0)</f>
        <v>72509.7737297262</v>
      </c>
      <c r="S41" s="30" t="n">
        <f aca="false">IF(S$6&gt;=01_Annahmen!$C$23,MIN(01_Annahmen!$C$22*R44,R44),0)</f>
        <v>71784.6759924289</v>
      </c>
    </row>
    <row r="42" customFormat="false" ht="15.75" hidden="false" customHeight="true" outlineLevel="0" collapsed="false">
      <c r="B42" s="7" t="s">
        <v>22</v>
      </c>
      <c r="D42" s="30" t="n">
        <f aca="false">SUM(E42:S42)</f>
        <v>111183188</v>
      </c>
      <c r="E42" s="30" t="n">
        <f aca="false">MIN(0+E39-E41,E17)</f>
        <v>0</v>
      </c>
      <c r="F42" s="30" t="n">
        <f aca="false">MIN(E44+F39-F41,F17)</f>
        <v>0</v>
      </c>
      <c r="G42" s="30" t="n">
        <f aca="false">MIN(F44+G39-G41,G17)</f>
        <v>0</v>
      </c>
      <c r="H42" s="30" t="n">
        <f aca="false">MIN(G44+H39-H41,H17)</f>
        <v>34183188</v>
      </c>
      <c r="I42" s="30" t="n">
        <f aca="false">MIN(H44+I39-I41,I17)</f>
        <v>0</v>
      </c>
      <c r="J42" s="30" t="n">
        <f aca="false">MIN(I44+J39-J41,J17)</f>
        <v>77000000</v>
      </c>
      <c r="K42" s="30" t="n">
        <f aca="false">MIN(J44+K39-K41,K17)</f>
        <v>0</v>
      </c>
      <c r="L42" s="30" t="n">
        <f aca="false">MIN(K44+L39-L41,L17)</f>
        <v>0</v>
      </c>
      <c r="M42" s="30" t="n">
        <f aca="false">MIN(L44+M39-M41,M17)</f>
        <v>0</v>
      </c>
      <c r="N42" s="30" t="n">
        <f aca="false">MIN(M44+N39-N41,N17)</f>
        <v>0</v>
      </c>
      <c r="O42" s="30" t="n">
        <f aca="false">MIN(N44+O39-O41,O17)</f>
        <v>0</v>
      </c>
      <c r="P42" s="30" t="n">
        <f aca="false">MIN(O44+P39-P41,P17)</f>
        <v>0</v>
      </c>
      <c r="Q42" s="30" t="n">
        <f aca="false">MIN(P44+Q39-Q41,Q17)</f>
        <v>0</v>
      </c>
      <c r="R42" s="30" t="n">
        <f aca="false">MIN(Q44+R39-R41,R17)</f>
        <v>0</v>
      </c>
      <c r="S42" s="30" t="n">
        <f aca="false">MIN(R44+S39-S41,S17)</f>
        <v>0</v>
      </c>
    </row>
    <row r="43" customFormat="false" ht="15.75" hidden="false" customHeight="true" outlineLevel="0" collapsed="false">
      <c r="B43" s="7" t="s">
        <v>213</v>
      </c>
      <c r="D43" s="30" t="n">
        <f aca="false">SUM(E43:S43)</f>
        <v>1694766.34493156</v>
      </c>
      <c r="E43" s="30" t="n">
        <f aca="false">MAX(0,E40+E41-E12)</f>
        <v>0</v>
      </c>
      <c r="F43" s="30" t="n">
        <f aca="false">MAX(0,F40+F41-F12)</f>
        <v>0</v>
      </c>
      <c r="G43" s="30" t="n">
        <f aca="false">MAX(0,G40+G41-G12)</f>
        <v>371931.413625</v>
      </c>
      <c r="H43" s="30" t="n">
        <f aca="false">MAX(0,H40+H41-H12)</f>
        <v>1322834.93130656</v>
      </c>
      <c r="I43" s="30" t="n">
        <f aca="false">MAX(0,I40+I41-I12)</f>
        <v>0</v>
      </c>
      <c r="J43" s="30" t="n">
        <f aca="false">MAX(0,J40+J41-J12)</f>
        <v>0</v>
      </c>
      <c r="K43" s="30" t="n">
        <f aca="false">MAX(0,K40+K41-K12)</f>
        <v>0</v>
      </c>
      <c r="L43" s="30" t="n">
        <f aca="false">MAX(0,L40+L41-L12)</f>
        <v>0</v>
      </c>
      <c r="M43" s="30" t="n">
        <f aca="false">MAX(0,M40+M41-M12)</f>
        <v>0</v>
      </c>
      <c r="N43" s="30" t="n">
        <f aca="false">MAX(0,N40+N41-N12)</f>
        <v>0</v>
      </c>
      <c r="O43" s="30" t="n">
        <f aca="false">MAX(0,O40+O41-O12)</f>
        <v>0</v>
      </c>
      <c r="P43" s="30" t="n">
        <f aca="false">MAX(0,P40+P41-P12)</f>
        <v>0</v>
      </c>
      <c r="Q43" s="30" t="n">
        <f aca="false">MAX(0,Q40+Q41-Q12)</f>
        <v>0</v>
      </c>
      <c r="R43" s="30" t="n">
        <f aca="false">MAX(0,R40+R41-R12)</f>
        <v>0</v>
      </c>
      <c r="S43" s="30" t="n">
        <f aca="false">MAX(0,S40+S41-S12)</f>
        <v>0</v>
      </c>
    </row>
    <row r="44" customFormat="false" ht="15.75" hidden="false" customHeight="true" outlineLevel="0" collapsed="false">
      <c r="B44" s="5" t="s">
        <v>214</v>
      </c>
      <c r="C44" s="38" t="s">
        <v>215</v>
      </c>
      <c r="D44" s="35" t="n">
        <f aca="false">MAX(E44:S44)</f>
        <v>64960261.9449316</v>
      </c>
      <c r="E44" s="35" t="n">
        <f aca="false">0+E39+E43-E41-E42</f>
        <v>0</v>
      </c>
      <c r="F44" s="35" t="n">
        <f aca="false">E44+F39+F43-F41-F42</f>
        <v>0</v>
      </c>
      <c r="G44" s="35" t="n">
        <f aca="false">F44+G39+G43-G41-G42</f>
        <v>43432501.513625</v>
      </c>
      <c r="H44" s="35" t="n">
        <f aca="false">G44+H39+H43-H41-H42</f>
        <v>41292472.6449316</v>
      </c>
      <c r="I44" s="35" t="n">
        <f aca="false">H44+I39+I43-I41-I42</f>
        <v>64960261.9449316</v>
      </c>
      <c r="J44" s="35" t="n">
        <f aca="false">I44+J39+J43-J41-J42</f>
        <v>7701678.44493155</v>
      </c>
      <c r="K44" s="35" t="n">
        <f aca="false">J44+K39+K43-K41-K42</f>
        <v>7701678.44493155</v>
      </c>
      <c r="L44" s="35" t="n">
        <f aca="false">K44+L39+L43-L41-L42</f>
        <v>7624661.66048224</v>
      </c>
      <c r="M44" s="35" t="n">
        <f aca="false">L44+M39+M43-M41-M42</f>
        <v>7548415.04387741</v>
      </c>
      <c r="N44" s="35" t="n">
        <f aca="false">M44+N39+N43-N41-N42</f>
        <v>7472930.89343864</v>
      </c>
      <c r="O44" s="35" t="n">
        <f aca="false">N44+O39+O43-O41-O42</f>
        <v>7398201.58450425</v>
      </c>
      <c r="P44" s="35" t="n">
        <f aca="false">O44+P39+P43-P41-P42</f>
        <v>7324219.56865921</v>
      </c>
      <c r="Q44" s="35" t="n">
        <f aca="false">P44+Q39+Q43-Q41-Q42</f>
        <v>7250977.37297262</v>
      </c>
      <c r="R44" s="35" t="n">
        <f aca="false">Q44+R39+R43-R41-R42</f>
        <v>7178467.59924289</v>
      </c>
      <c r="S44" s="35" t="n">
        <f aca="false">R44+S39+S43-S41-S42</f>
        <v>7106682.92325046</v>
      </c>
    </row>
    <row r="45" customFormat="false" ht="15.75" hidden="false" customHeight="true" outlineLevel="0" collapsed="false">
      <c r="B45" s="32" t="s">
        <v>216</v>
      </c>
      <c r="C45" s="39" t="s">
        <v>215</v>
      </c>
      <c r="D45" s="33" t="n">
        <f aca="false">MAX(E45:S45)</f>
        <v>64960261.9449316</v>
      </c>
      <c r="E45" s="33" t="n">
        <f aca="false">E35+E44</f>
        <v>1262500</v>
      </c>
      <c r="F45" s="33" t="n">
        <f aca="false">F35+F44</f>
        <v>6937500</v>
      </c>
      <c r="G45" s="33" t="n">
        <f aca="false">G35+G44</f>
        <v>43432501.513625</v>
      </c>
      <c r="H45" s="33" t="n">
        <f aca="false">H35+H44</f>
        <v>41292472.6449316</v>
      </c>
      <c r="I45" s="33" t="n">
        <f aca="false">I35+I44</f>
        <v>64960261.9449316</v>
      </c>
      <c r="J45" s="33" t="n">
        <f aca="false">J35+J44</f>
        <v>7701678.44493155</v>
      </c>
      <c r="K45" s="33" t="n">
        <f aca="false">K35+K44</f>
        <v>7701678.44493155</v>
      </c>
      <c r="L45" s="33" t="n">
        <f aca="false">L35+L44</f>
        <v>7624661.66048224</v>
      </c>
      <c r="M45" s="33" t="n">
        <f aca="false">M35+M44</f>
        <v>7548415.04387741</v>
      </c>
      <c r="N45" s="33" t="n">
        <f aca="false">N35+N44</f>
        <v>7472930.89343864</v>
      </c>
      <c r="O45" s="33" t="n">
        <f aca="false">O35+O44</f>
        <v>7398201.58450425</v>
      </c>
      <c r="P45" s="33" t="n">
        <f aca="false">P35+P44</f>
        <v>7324219.56865921</v>
      </c>
      <c r="Q45" s="33" t="n">
        <f aca="false">Q35+Q44</f>
        <v>7250977.37297262</v>
      </c>
      <c r="R45" s="33" t="n">
        <f aca="false">R35+R44</f>
        <v>7178467.59924289</v>
      </c>
      <c r="S45" s="33" t="n">
        <f aca="false">S35+S44</f>
        <v>7106682.92325046</v>
      </c>
    </row>
    <row r="46" customFormat="false" ht="15.75" hidden="false" customHeight="true" outlineLevel="0" collapsed="false">
      <c r="B46" s="7" t="s">
        <v>217</v>
      </c>
      <c r="E46" s="30" t="n">
        <f aca="false">IF(E$6&gt;=01_Annahmen!$O$30,(1-01_Annahmen!$P$30)*01_Annahmen!$N$30,0)+IF(E$6&gt;=01_Annahmen!$O$31,(1-01_Annahmen!$P$31)*01_Annahmen!$N$31,0)+IF(E$6&gt;=01_Annahmen!$O$32,(1-01_Annahmen!$P$32)*01_Annahmen!$N$32,0)+IF(E$6&gt;=01_Annahmen!$O$33,(1-01_Annahmen!$P$33)*01_Annahmen!$N$33,0)</f>
        <v>0</v>
      </c>
      <c r="F46" s="30" t="n">
        <f aca="false">IF(F$6&gt;=01_Annahmen!$O$30,(1-01_Annahmen!$P$30)*01_Annahmen!$N$30,0)+IF(F$6&gt;=01_Annahmen!$O$31,(1-01_Annahmen!$P$31)*01_Annahmen!$N$31,0)+IF(F$6&gt;=01_Annahmen!$O$32,(1-01_Annahmen!$P$32)*01_Annahmen!$N$32,0)+IF(F$6&gt;=01_Annahmen!$O$33,(1-01_Annahmen!$P$33)*01_Annahmen!$N$33,0)</f>
        <v>0</v>
      </c>
      <c r="G46" s="30" t="n">
        <f aca="false">IF(G$6&gt;=01_Annahmen!$O$30,(1-01_Annahmen!$P$30)*01_Annahmen!$N$30,0)+IF(G$6&gt;=01_Annahmen!$O$31,(1-01_Annahmen!$P$31)*01_Annahmen!$N$31,0)+IF(G$6&gt;=01_Annahmen!$O$32,(1-01_Annahmen!$P$32)*01_Annahmen!$N$32,0)+IF(G$6&gt;=01_Annahmen!$O$33,(1-01_Annahmen!$P$33)*01_Annahmen!$N$33,0)</f>
        <v>0</v>
      </c>
      <c r="H46" s="30" t="n">
        <f aca="false">IF(H$6&gt;=01_Annahmen!$O$30,(1-01_Annahmen!$P$30)*01_Annahmen!$N$30,0)+IF(H$6&gt;=01_Annahmen!$O$31,(1-01_Annahmen!$P$31)*01_Annahmen!$N$31,0)+IF(H$6&gt;=01_Annahmen!$O$32,(1-01_Annahmen!$P$32)*01_Annahmen!$N$32,0)+IF(H$6&gt;=01_Annahmen!$O$33,(1-01_Annahmen!$P$33)*01_Annahmen!$N$33,0)</f>
        <v>0</v>
      </c>
      <c r="I46" s="30" t="n">
        <f aca="false">IF(I$6&gt;=01_Annahmen!$O$30,(1-01_Annahmen!$P$30)*01_Annahmen!$N$30,0)+IF(I$6&gt;=01_Annahmen!$O$31,(1-01_Annahmen!$P$31)*01_Annahmen!$N$31,0)+IF(I$6&gt;=01_Annahmen!$O$32,(1-01_Annahmen!$P$32)*01_Annahmen!$N$32,0)+IF(I$6&gt;=01_Annahmen!$O$33,(1-01_Annahmen!$P$33)*01_Annahmen!$N$33,0)</f>
        <v>72891499.9523255</v>
      </c>
      <c r="J46" s="30" t="n">
        <f aca="false">IF(J$6&gt;=01_Annahmen!$O$30,(1-01_Annahmen!$P$30)*01_Annahmen!$N$30,0)+IF(J$6&gt;=01_Annahmen!$O$31,(1-01_Annahmen!$P$31)*01_Annahmen!$N$31,0)+IF(J$6&gt;=01_Annahmen!$O$32,(1-01_Annahmen!$P$32)*01_Annahmen!$N$32,0)+IF(J$6&gt;=01_Annahmen!$O$33,(1-01_Annahmen!$P$33)*01_Annahmen!$N$33,0)</f>
        <v>72891499.9523255</v>
      </c>
      <c r="K46" s="30" t="n">
        <f aca="false">IF(K$6&gt;=01_Annahmen!$O$30,(1-01_Annahmen!$P$30)*01_Annahmen!$N$30,0)+IF(K$6&gt;=01_Annahmen!$O$31,(1-01_Annahmen!$P$31)*01_Annahmen!$N$31,0)+IF(K$6&gt;=01_Annahmen!$O$32,(1-01_Annahmen!$P$32)*01_Annahmen!$N$32,0)+IF(K$6&gt;=01_Annahmen!$O$33,(1-01_Annahmen!$P$33)*01_Annahmen!$N$33,0)</f>
        <v>72891499.9523255</v>
      </c>
      <c r="L46" s="30" t="n">
        <f aca="false">IF(L$6&gt;=01_Annahmen!$O$30,(1-01_Annahmen!$P$30)*01_Annahmen!$N$30,0)+IF(L$6&gt;=01_Annahmen!$O$31,(1-01_Annahmen!$P$31)*01_Annahmen!$N$31,0)+IF(L$6&gt;=01_Annahmen!$O$32,(1-01_Annahmen!$P$32)*01_Annahmen!$N$32,0)+IF(L$6&gt;=01_Annahmen!$O$33,(1-01_Annahmen!$P$33)*01_Annahmen!$N$33,0)</f>
        <v>72891499.9523255</v>
      </c>
      <c r="M46" s="30" t="n">
        <f aca="false">IF(M$6&gt;=01_Annahmen!$O$30,(1-01_Annahmen!$P$30)*01_Annahmen!$N$30,0)+IF(M$6&gt;=01_Annahmen!$O$31,(1-01_Annahmen!$P$31)*01_Annahmen!$N$31,0)+IF(M$6&gt;=01_Annahmen!$O$32,(1-01_Annahmen!$P$32)*01_Annahmen!$N$32,0)+IF(M$6&gt;=01_Annahmen!$O$33,(1-01_Annahmen!$P$33)*01_Annahmen!$N$33,0)</f>
        <v>72891499.9523255</v>
      </c>
      <c r="N46" s="30" t="n">
        <f aca="false">IF(N$6&gt;=01_Annahmen!$O$30,(1-01_Annahmen!$P$30)*01_Annahmen!$N$30,0)+IF(N$6&gt;=01_Annahmen!$O$31,(1-01_Annahmen!$P$31)*01_Annahmen!$N$31,0)+IF(N$6&gt;=01_Annahmen!$O$32,(1-01_Annahmen!$P$32)*01_Annahmen!$N$32,0)+IF(N$6&gt;=01_Annahmen!$O$33,(1-01_Annahmen!$P$33)*01_Annahmen!$N$33,0)</f>
        <v>72891499.9523255</v>
      </c>
      <c r="O46" s="30" t="n">
        <f aca="false">IF(O$6&gt;=01_Annahmen!$O$30,(1-01_Annahmen!$P$30)*01_Annahmen!$N$30,0)+IF(O$6&gt;=01_Annahmen!$O$31,(1-01_Annahmen!$P$31)*01_Annahmen!$N$31,0)+IF(O$6&gt;=01_Annahmen!$O$32,(1-01_Annahmen!$P$32)*01_Annahmen!$N$32,0)+IF(O$6&gt;=01_Annahmen!$O$33,(1-01_Annahmen!$P$33)*01_Annahmen!$N$33,0)</f>
        <v>72891499.9523255</v>
      </c>
      <c r="P46" s="30" t="n">
        <f aca="false">IF(P$6&gt;=01_Annahmen!$O$30,(1-01_Annahmen!$P$30)*01_Annahmen!$N$30,0)+IF(P$6&gt;=01_Annahmen!$O$31,(1-01_Annahmen!$P$31)*01_Annahmen!$N$31,0)+IF(P$6&gt;=01_Annahmen!$O$32,(1-01_Annahmen!$P$32)*01_Annahmen!$N$32,0)+IF(P$6&gt;=01_Annahmen!$O$33,(1-01_Annahmen!$P$33)*01_Annahmen!$N$33,0)</f>
        <v>72891499.9523255</v>
      </c>
      <c r="Q46" s="30" t="n">
        <f aca="false">IF(Q$6&gt;=01_Annahmen!$O$30,(1-01_Annahmen!$P$30)*01_Annahmen!$N$30,0)+IF(Q$6&gt;=01_Annahmen!$O$31,(1-01_Annahmen!$P$31)*01_Annahmen!$N$31,0)+IF(Q$6&gt;=01_Annahmen!$O$32,(1-01_Annahmen!$P$32)*01_Annahmen!$N$32,0)+IF(Q$6&gt;=01_Annahmen!$O$33,(1-01_Annahmen!$P$33)*01_Annahmen!$N$33,0)</f>
        <v>72891499.9523255</v>
      </c>
      <c r="R46" s="30" t="n">
        <f aca="false">IF(R$6&gt;=01_Annahmen!$O$30,(1-01_Annahmen!$P$30)*01_Annahmen!$N$30,0)+IF(R$6&gt;=01_Annahmen!$O$31,(1-01_Annahmen!$P$31)*01_Annahmen!$N$31,0)+IF(R$6&gt;=01_Annahmen!$O$32,(1-01_Annahmen!$P$32)*01_Annahmen!$N$32,0)+IF(R$6&gt;=01_Annahmen!$O$33,(1-01_Annahmen!$P$33)*01_Annahmen!$N$33,0)</f>
        <v>72891499.9523255</v>
      </c>
      <c r="S46" s="30" t="n">
        <f aca="false">IF(S$6&gt;=01_Annahmen!$O$30,(1-01_Annahmen!$P$30)*01_Annahmen!$N$30,0)+IF(S$6&gt;=01_Annahmen!$O$31,(1-01_Annahmen!$P$31)*01_Annahmen!$N$31,0)+IF(S$6&gt;=01_Annahmen!$O$32,(1-01_Annahmen!$P$32)*01_Annahmen!$N$32,0)+IF(S$6&gt;=01_Annahmen!$O$33,(1-01_Annahmen!$P$33)*01_Annahmen!$N$33,0)</f>
        <v>72891499.9523255</v>
      </c>
    </row>
    <row r="47" customFormat="false" ht="15.75" hidden="false" customHeight="true" outlineLevel="0" collapsed="false">
      <c r="B47" s="7" t="s">
        <v>218</v>
      </c>
      <c r="E47" s="23" t="n">
        <f aca="false">IF(E46=0,0,E45/E46)</f>
        <v>0</v>
      </c>
      <c r="F47" s="23" t="n">
        <f aca="false">IF(F46=0,0,F45/F46)</f>
        <v>0</v>
      </c>
      <c r="G47" s="23" t="n">
        <f aca="false">IF(G46=0,0,G45/G46)</f>
        <v>0</v>
      </c>
      <c r="H47" s="23" t="n">
        <f aca="false">IF(H46=0,0,H45/H46)</f>
        <v>0</v>
      </c>
      <c r="I47" s="23" t="n">
        <f aca="false">IF(I46=0,0,I45/I46)</f>
        <v>0.891191181240867</v>
      </c>
      <c r="J47" s="23" t="n">
        <f aca="false">IF(J46=0,0,J45/J46)</f>
        <v>0.105659486359436</v>
      </c>
      <c r="K47" s="23" t="n">
        <f aca="false">IF(K46=0,0,K45/K46)</f>
        <v>0.105659486359436</v>
      </c>
      <c r="L47" s="23" t="n">
        <f aca="false">IF(L46=0,0,L45/L46)</f>
        <v>0.104602891495841</v>
      </c>
      <c r="M47" s="23" t="n">
        <f aca="false">IF(M46=0,0,M45/M46)</f>
        <v>0.103556862580883</v>
      </c>
      <c r="N47" s="23" t="n">
        <f aca="false">IF(N46=0,0,N45/N46)</f>
        <v>0.102521293955074</v>
      </c>
      <c r="O47" s="23" t="n">
        <f aca="false">IF(O46=0,0,O45/O46)</f>
        <v>0.101496081015523</v>
      </c>
      <c r="P47" s="23" t="n">
        <f aca="false">IF(P46=0,0,P45/P46)</f>
        <v>0.100481120205368</v>
      </c>
      <c r="Q47" s="23" t="n">
        <f aca="false">IF(Q46=0,0,Q45/Q46)</f>
        <v>0.0994763090033145</v>
      </c>
      <c r="R47" s="23" t="n">
        <f aca="false">IF(R46=0,0,R45/R46)</f>
        <v>0.0984815459132814</v>
      </c>
      <c r="S47" s="23" t="n">
        <f aca="false">IF(S46=0,0,S45/S46)</f>
        <v>0.0974967304541486</v>
      </c>
    </row>
    <row r="48" customFormat="false" ht="15.75" hidden="false" customHeight="true" outlineLevel="0" collapsed="false">
      <c r="B48" s="7" t="s">
        <v>219</v>
      </c>
      <c r="E48" s="23" t="n">
        <f aca="false">E45/03_Investitionen!$D$19</f>
        <v>0.00756032647986893</v>
      </c>
      <c r="F48" s="23" t="n">
        <f aca="false">F45/03_Investitionen!$D$19</f>
        <v>0.0415443682804679</v>
      </c>
      <c r="G48" s="23" t="n">
        <f aca="false">G45/03_Investitionen!$D$19</f>
        <v>0.260090210915174</v>
      </c>
      <c r="H48" s="23" t="n">
        <f aca="false">H45/03_Investitionen!$D$19</f>
        <v>0.247274910381576</v>
      </c>
      <c r="I48" s="23" t="n">
        <f aca="false">I45/03_Investitionen!$D$19</f>
        <v>0.389006565165535</v>
      </c>
      <c r="J48" s="23" t="n">
        <f aca="false">J45/03_Investitionen!$D$19</f>
        <v>0.04612055721715</v>
      </c>
      <c r="K48" s="23" t="n">
        <f aca="false">K45/03_Investitionen!$D$19</f>
        <v>0.04612055721715</v>
      </c>
      <c r="L48" s="23" t="n">
        <f aca="false">L45/03_Investitionen!$D$19</f>
        <v>0.0456593516449784</v>
      </c>
      <c r="M48" s="23" t="n">
        <f aca="false">M45/03_Investitionen!$D$19</f>
        <v>0.0452027581285287</v>
      </c>
      <c r="N48" s="23" t="n">
        <f aca="false">N45/03_Investitionen!$D$19</f>
        <v>0.0447507305472434</v>
      </c>
      <c r="O48" s="23" t="n">
        <f aca="false">O45/03_Investitionen!$D$19</f>
        <v>0.0443032232417709</v>
      </c>
      <c r="P48" s="23" t="n">
        <f aca="false">P45/03_Investitionen!$D$19</f>
        <v>0.0438601910093532</v>
      </c>
      <c r="Q48" s="23" t="n">
        <f aca="false">Q45/03_Investitionen!$D$19</f>
        <v>0.0434215890992597</v>
      </c>
      <c r="R48" s="23" t="n">
        <f aca="false">R45/03_Investitionen!$D$19</f>
        <v>0.0429873732082671</v>
      </c>
      <c r="S48" s="23" t="n">
        <f aca="false">S45/03_Investitionen!$D$19</f>
        <v>0.0425574994761844</v>
      </c>
    </row>
    <row r="49" customFormat="false" ht="15.75" hidden="false" customHeight="true" outlineLevel="0" collapsed="false">
      <c r="B49" s="7" t="s">
        <v>220</v>
      </c>
      <c r="E49" s="40" t="n">
        <f aca="false">IF(E40+E41=0,0,E12/(E40+E41))</f>
        <v>0</v>
      </c>
      <c r="F49" s="40" t="n">
        <f aca="false">IF(F40+F41=0,0,F12/(F40+F41))</f>
        <v>0</v>
      </c>
      <c r="G49" s="40" t="n">
        <f aca="false">IF(G40+G41=0,0,G12/(G40+G41))</f>
        <v>0</v>
      </c>
      <c r="H49" s="40" t="n">
        <f aca="false">IF(H40+H41=0,0,H12/(H40+H41))</f>
        <v>0</v>
      </c>
      <c r="I49" s="40" t="n">
        <f aca="false">IF(I40+I41=0,0,I12/(I40+I41))</f>
        <v>1.53136983485925</v>
      </c>
      <c r="J49" s="40" t="n">
        <f aca="false">IF(J40+J41=0,0,J12/(J40+J41))</f>
        <v>1.60809871565576</v>
      </c>
      <c r="K49" s="40" t="n">
        <f aca="false">IF(K40+K41=0,0,K12/(K40+K41))</f>
        <v>20.7649066065657</v>
      </c>
      <c r="L49" s="40" t="n">
        <f aca="false">IF(L40+L41=0,0,L12/(L40+L41))</f>
        <v>14.4889272250771</v>
      </c>
      <c r="M49" s="40" t="n">
        <f aca="false">IF(M40+M41=0,0,M12/(M40+M41))</f>
        <v>14.7505483842015</v>
      </c>
      <c r="N49" s="40" t="n">
        <f aca="false">IF(N40+N41=0,0,N12/(N40+N41))</f>
        <v>15.0168948611026</v>
      </c>
      <c r="O49" s="40" t="n">
        <f aca="false">IF(O40+O41=0,0,O12/(O40+O41))</f>
        <v>15.2880520268884</v>
      </c>
      <c r="P49" s="40" t="n">
        <f aca="false">IF(P40+P41=0,0,P12/(P40+P41))</f>
        <v>15.5641067954779</v>
      </c>
      <c r="Q49" s="40" t="n">
        <f aca="false">IF(Q40+Q41=0,0,Q12/(Q40+Q41))</f>
        <v>15.8451476514902</v>
      </c>
      <c r="R49" s="40" t="n">
        <f aca="false">IF(R40+R41=0,0,R12/(R40+R41))</f>
        <v>16.1312646786382</v>
      </c>
      <c r="S49" s="40" t="n">
        <f aca="false">IF(S40+S41=0,0,S12/(S40+S41))</f>
        <v>16.4225495886353</v>
      </c>
    </row>
    <row r="50" customFormat="false" ht="15.75" hidden="false" customHeight="true" outlineLevel="0" collapsed="false"/>
    <row r="51" customFormat="false" ht="15.75" hidden="false" customHeight="true" outlineLevel="0" collapsed="false">
      <c r="B51" s="4" t="s">
        <v>221</v>
      </c>
    </row>
    <row r="52" customFormat="false" ht="15.75" hidden="false" customHeight="true" outlineLevel="0" collapsed="false">
      <c r="B52" s="7" t="s">
        <v>222</v>
      </c>
      <c r="D52" s="30" t="n">
        <f aca="false">SUM(E52:S52)</f>
        <v>32975984.1222367</v>
      </c>
      <c r="E52" s="30" t="n">
        <f aca="false">MAX(0,E12-E40-E41)+E17-E42</f>
        <v>0</v>
      </c>
      <c r="F52" s="30" t="n">
        <f aca="false">MAX(0,F12-F40-F41)+F17-F42</f>
        <v>0</v>
      </c>
      <c r="G52" s="30" t="n">
        <f aca="false">MAX(0,G12-G40-G41)+G17-G42</f>
        <v>0</v>
      </c>
      <c r="H52" s="30" t="n">
        <f aca="false">MAX(0,H12-H40-H41)+H17-H42</f>
        <v>0</v>
      </c>
      <c r="I52" s="30" t="n">
        <f aca="false">MAX(0,I12-I40-I41)+I17-I42</f>
        <v>635169.35286404</v>
      </c>
      <c r="J52" s="30" t="n">
        <f aca="false">MAX(0,J12-J40-J41)+J17-J42</f>
        <v>1023853.87950328</v>
      </c>
      <c r="K52" s="30" t="n">
        <f aca="false">MAX(0,K12-K40-K41)+K17-K42</f>
        <v>3425016.49150212</v>
      </c>
      <c r="L52" s="30" t="n">
        <f aca="false">MAX(0,L12-L40-L41)+L17-L42</f>
        <v>3376339.85177537</v>
      </c>
      <c r="M52" s="30" t="n">
        <f aca="false">MAX(0,M12-M40-M41)+M17-M42</f>
        <v>3407406.56995788</v>
      </c>
      <c r="N52" s="30" t="n">
        <f aca="false">MAX(0,N12-N40-N41)+N17-N42</f>
        <v>3438673.55123484</v>
      </c>
      <c r="O52" s="30" t="n">
        <f aca="false">MAX(0,O12-O40-O41)+O17-O42</f>
        <v>3470142.82546078</v>
      </c>
      <c r="P52" s="30" t="n">
        <f aca="false">MAX(0,P12-P40-P41)+P17-P42</f>
        <v>3501816.4340638</v>
      </c>
      <c r="Q52" s="30" t="n">
        <f aca="false">MAX(0,Q12-Q40-Q41)+Q17-Q42</f>
        <v>3533696.4301821</v>
      </c>
      <c r="R52" s="30" t="n">
        <f aca="false">MAX(0,R12-R40-R41)+R17-R42</f>
        <v>3565784.87880112</v>
      </c>
      <c r="S52" s="30" t="n">
        <f aca="false">MAX(0,S12-S40-S41)+S17-S42</f>
        <v>3598083.85689139</v>
      </c>
    </row>
    <row r="53" customFormat="false" ht="15.75" hidden="false" customHeight="true" outlineLevel="0" collapsed="false">
      <c r="B53" s="32" t="s">
        <v>223</v>
      </c>
      <c r="C53" s="32"/>
      <c r="D53" s="33" t="n">
        <f aca="false">SUM(E53:S53)</f>
        <v>52860845.432453</v>
      </c>
      <c r="E53" s="33" t="n">
        <f aca="false">E19-E38+E52</f>
        <v>-46115662.125</v>
      </c>
      <c r="F53" s="33" t="n">
        <f aca="false">F19-F38+F52</f>
        <v>-792250</v>
      </c>
      <c r="G53" s="33" t="n">
        <f aca="false">G19-G38+G52</f>
        <v>-3189130.77500001</v>
      </c>
      <c r="H53" s="33" t="n">
        <f aca="false">H19-H38+H52</f>
        <v>0</v>
      </c>
      <c r="I53" s="33" t="n">
        <f aca="false">I19-I38+I52</f>
        <v>635169.35286404</v>
      </c>
      <c r="J53" s="33" t="n">
        <f aca="false">J19-J38+J52</f>
        <v>1023853.87950328</v>
      </c>
      <c r="K53" s="33" t="n">
        <f aca="false">K19-K38+K52</f>
        <v>3425016.49150212</v>
      </c>
      <c r="L53" s="33" t="n">
        <f aca="false">L19-L38+L52</f>
        <v>3376339.85177537</v>
      </c>
      <c r="M53" s="33" t="n">
        <f aca="false">M19-M38+M52</f>
        <v>3407406.56995788</v>
      </c>
      <c r="N53" s="33" t="n">
        <f aca="false">N19-N38+N52</f>
        <v>3438673.55123484</v>
      </c>
      <c r="O53" s="33" t="n">
        <f aca="false">O19-O38+O52</f>
        <v>3470142.82546078</v>
      </c>
      <c r="P53" s="33" t="n">
        <f aca="false">P19-P38+P52</f>
        <v>3501816.4340638</v>
      </c>
      <c r="Q53" s="33" t="n">
        <f aca="false">Q19-Q38+Q52</f>
        <v>3533696.4301821</v>
      </c>
      <c r="R53" s="33" t="n">
        <f aca="false">R19-R38+R52</f>
        <v>3565784.87880112</v>
      </c>
      <c r="S53" s="33" t="n">
        <f aca="false">S19-S38+S52+S24-S45</f>
        <v>73579988.0671076</v>
      </c>
    </row>
    <row r="54" customFormat="false" ht="15.75" hidden="false" customHeight="true" outlineLevel="0" collapsed="false"/>
    <row r="55" customFormat="false" ht="15.75" hidden="false" customHeight="true" outlineLevel="0" collapsed="false">
      <c r="B55" s="4" t="s">
        <v>224</v>
      </c>
    </row>
    <row r="56" customFormat="false" ht="19.5" hidden="false" customHeight="true" outlineLevel="0" collapsed="false">
      <c r="B56" s="13" t="s">
        <v>163</v>
      </c>
      <c r="C56" s="14"/>
      <c r="D56" s="14" t="s">
        <v>42</v>
      </c>
      <c r="E56" s="14" t="s">
        <v>43</v>
      </c>
    </row>
    <row r="57" customFormat="false" ht="15.75" hidden="false" customHeight="true" outlineLevel="0" collapsed="false">
      <c r="B57" s="5" t="s">
        <v>14</v>
      </c>
      <c r="C57" s="35" t="n">
        <f aca="false">03_Investitionen!$D$19</f>
        <v>166990143</v>
      </c>
      <c r="D57" s="7" t="s">
        <v>81</v>
      </c>
    </row>
    <row r="58" customFormat="false" ht="15.75" hidden="false" customHeight="true" outlineLevel="0" collapsed="false">
      <c r="B58" s="7" t="s">
        <v>17</v>
      </c>
      <c r="C58" s="30" t="n">
        <f aca="false">01_Annahmen!$C$25</f>
        <v>46101459</v>
      </c>
      <c r="D58" s="7" t="s">
        <v>81</v>
      </c>
    </row>
    <row r="59" customFormat="false" ht="15.75" hidden="false" customHeight="true" outlineLevel="0" collapsed="false">
      <c r="B59" s="7" t="s">
        <v>18</v>
      </c>
      <c r="C59" s="30" t="n">
        <f aca="false">D38</f>
        <v>3995583.90000001</v>
      </c>
      <c r="D59" s="7" t="s">
        <v>81</v>
      </c>
    </row>
    <row r="60" customFormat="false" ht="15.75" hidden="false" customHeight="true" outlineLevel="0" collapsed="false">
      <c r="B60" s="7" t="s">
        <v>15</v>
      </c>
      <c r="C60" s="30" t="n">
        <f aca="false">01_Annahmen!$C$25+D38</f>
        <v>50097042.9</v>
      </c>
      <c r="D60" s="7" t="s">
        <v>81</v>
      </c>
    </row>
    <row r="61" customFormat="false" ht="15.75" hidden="false" customHeight="true" outlineLevel="0" collapsed="false">
      <c r="B61" s="5" t="s">
        <v>16</v>
      </c>
      <c r="C61" s="34" t="n">
        <f aca="false">(01_Annahmen!$C$25+D38)/03_Investitionen!$D$19</f>
        <v>0.3</v>
      </c>
      <c r="D61" s="7" t="s">
        <v>52</v>
      </c>
    </row>
    <row r="62" customFormat="false" ht="15.75" hidden="false" customHeight="true" outlineLevel="0" collapsed="false">
      <c r="B62" s="7" t="s">
        <v>19</v>
      </c>
      <c r="C62" s="30" t="n">
        <f aca="false">01_Annahmen!$C$18*03_Investitionen!$D$19</f>
        <v>116893100.1</v>
      </c>
      <c r="D62" s="7" t="s">
        <v>81</v>
      </c>
    </row>
    <row r="63" customFormat="false" ht="15.75" hidden="false" customHeight="true" outlineLevel="0" collapsed="false">
      <c r="B63" s="5" t="s">
        <v>225</v>
      </c>
      <c r="C63" s="35" t="n">
        <f aca="false">D32</f>
        <v>10000000</v>
      </c>
      <c r="D63" s="7" t="s">
        <v>81</v>
      </c>
    </row>
    <row r="64" customFormat="false" ht="15.75" hidden="false" customHeight="true" outlineLevel="0" collapsed="false">
      <c r="B64" s="7" t="s">
        <v>20</v>
      </c>
      <c r="C64" s="30" t="n">
        <f aca="false">D39</f>
        <v>117190100.1</v>
      </c>
      <c r="D64" s="7" t="s">
        <v>81</v>
      </c>
    </row>
    <row r="65" customFormat="false" ht="15.75" hidden="false" customHeight="true" outlineLevel="0" collapsed="false">
      <c r="B65" s="5" t="s">
        <v>23</v>
      </c>
      <c r="C65" s="35" t="n">
        <f aca="false">D44</f>
        <v>64960261.9449316</v>
      </c>
      <c r="D65" s="7" t="s">
        <v>81</v>
      </c>
    </row>
    <row r="66" customFormat="false" ht="15.75" hidden="false" customHeight="true" outlineLevel="0" collapsed="false">
      <c r="B66" s="7" t="s">
        <v>24</v>
      </c>
      <c r="C66" s="23" t="n">
        <f aca="false">D44/03_Investitionen!$D$19</f>
        <v>0.389006565165535</v>
      </c>
      <c r="D66" s="7" t="s">
        <v>52</v>
      </c>
    </row>
    <row r="67" customFormat="false" ht="15.75" hidden="false" customHeight="true" outlineLevel="0" collapsed="false">
      <c r="B67" s="7" t="s">
        <v>21</v>
      </c>
      <c r="C67" s="30" t="n">
        <f aca="false">D17</f>
        <v>111183188</v>
      </c>
      <c r="D67" s="7" t="s">
        <v>81</v>
      </c>
    </row>
    <row r="68" customFormat="false" ht="15.75" hidden="false" customHeight="true" outlineLevel="0" collapsed="false">
      <c r="B68" s="7" t="s">
        <v>22</v>
      </c>
      <c r="C68" s="30" t="n">
        <f aca="false">D42</f>
        <v>111183188</v>
      </c>
      <c r="D68" s="7" t="s">
        <v>81</v>
      </c>
    </row>
    <row r="69" customFormat="false" ht="15.75" hidden="false" customHeight="true" outlineLevel="0" collapsed="false">
      <c r="B69" s="7" t="s">
        <v>25</v>
      </c>
      <c r="C69" s="30" t="n">
        <f aca="false">L45</f>
        <v>7624661.66048224</v>
      </c>
      <c r="D69" s="7" t="s">
        <v>81</v>
      </c>
    </row>
    <row r="70" customFormat="false" ht="15.75" hidden="false" customHeight="true" outlineLevel="0" collapsed="false">
      <c r="B70" s="7" t="s">
        <v>26</v>
      </c>
      <c r="C70" s="30" t="n">
        <f aca="false">L46</f>
        <v>72891499.9523255</v>
      </c>
      <c r="D70" s="7" t="s">
        <v>81</v>
      </c>
    </row>
    <row r="71" customFormat="false" ht="15.75" hidden="false" customHeight="true" outlineLevel="0" collapsed="false">
      <c r="B71" s="7" t="s">
        <v>27</v>
      </c>
      <c r="C71" s="30" t="n">
        <f aca="false">SUMPRODUCT((1-01_Annahmen!$P$30:$P$33)*01_Annahmen!$U$30:$U$33)</f>
        <v>69086267</v>
      </c>
      <c r="D71" s="7" t="s">
        <v>81</v>
      </c>
    </row>
    <row r="72" customFormat="false" ht="15.75" hidden="false" customHeight="true" outlineLevel="0" collapsed="false">
      <c r="B72" s="7" t="s">
        <v>28</v>
      </c>
      <c r="C72" s="30" t="n">
        <f aca="false">MAX(0,01_Annahmen!$C$21*L46-L45)</f>
        <v>36110238.3109131</v>
      </c>
      <c r="D72" s="7" t="s">
        <v>81</v>
      </c>
    </row>
    <row r="73" customFormat="false" ht="15.75" hidden="false" customHeight="true" outlineLevel="0" collapsed="false">
      <c r="B73" s="7" t="s">
        <v>226</v>
      </c>
      <c r="C73" s="23" t="n">
        <f aca="false">L47</f>
        <v>0.104602891495841</v>
      </c>
      <c r="D73" s="7" t="s">
        <v>52</v>
      </c>
    </row>
    <row r="74" customFormat="false" ht="15.75" hidden="false" customHeight="true" outlineLevel="0" collapsed="false">
      <c r="B74" s="7" t="s">
        <v>29</v>
      </c>
      <c r="C74" s="30" t="n">
        <f aca="false">L12</f>
        <v>3626644.40123564</v>
      </c>
      <c r="D74" s="7" t="s">
        <v>81</v>
      </c>
    </row>
    <row r="75" customFormat="false" ht="15.75" hidden="false" customHeight="true" outlineLevel="0" collapsed="false">
      <c r="B75" s="5" t="s">
        <v>30</v>
      </c>
      <c r="C75" s="41" t="n">
        <f aca="false">MIN(L49:S49)</f>
        <v>14.4889272250771</v>
      </c>
      <c r="D75" s="7" t="s">
        <v>78</v>
      </c>
    </row>
    <row r="76" customFormat="false" ht="15.75" hidden="false" customHeight="true" outlineLevel="0" collapsed="false">
      <c r="B76" s="7" t="s">
        <v>227</v>
      </c>
      <c r="C76" s="30" t="n">
        <f aca="false">SUM(E33:J33)+SUM(E40:J40)</f>
        <v>4870806.43845348</v>
      </c>
      <c r="D76" s="7" t="s">
        <v>81</v>
      </c>
    </row>
    <row r="77" customFormat="false" ht="15.75" hidden="false" customHeight="true" outlineLevel="0" collapsed="false">
      <c r="B77" s="7" t="s">
        <v>31</v>
      </c>
      <c r="C77" s="18" t="n">
        <f aca="false">IRR(E25:S25)</f>
        <v>0.0533894472987886</v>
      </c>
      <c r="D77" s="7" t="s">
        <v>52</v>
      </c>
    </row>
    <row r="78" customFormat="false" ht="15.75" hidden="false" customHeight="true" outlineLevel="0" collapsed="false">
      <c r="B78" s="7" t="s">
        <v>32</v>
      </c>
      <c r="C78" s="18" t="n">
        <f aca="false">IRR(E53:S53)</f>
        <v>0.0602725635485752</v>
      </c>
      <c r="D78" s="7" t="s">
        <v>52</v>
      </c>
    </row>
    <row r="79" customFormat="false" ht="15.75" hidden="false" customHeight="true" outlineLevel="0" collapsed="false">
      <c r="B79" s="7" t="s">
        <v>228</v>
      </c>
      <c r="C79" s="40" t="n">
        <f aca="false">SUMIF(E53:S53,"&gt;0")/-SUMIF(E53:S53,"&lt;0")</f>
        <v>2.05516897550161</v>
      </c>
      <c r="D79" s="7" t="s">
        <v>78</v>
      </c>
    </row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H100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33593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44"/>
    <col collapsed="false" customWidth="true" hidden="false" outlineLevel="0" max="7" min="3" style="1" width="14"/>
    <col collapsed="false" customWidth="true" hidden="false" outlineLevel="0" max="8" min="8" style="1" width="48"/>
    <col collapsed="false" customWidth="true" hidden="false" outlineLevel="0" max="26" min="9" style="1" width="8.71"/>
  </cols>
  <sheetData>
    <row r="1" customFormat="false" ht="15" hidden="false" customHeight="true" outlineLevel="0" collapsed="false"/>
    <row r="2" customFormat="false" ht="18" hidden="false" customHeight="true" outlineLevel="0" collapsed="false">
      <c r="B2" s="2" t="s">
        <v>229</v>
      </c>
    </row>
    <row r="3" customFormat="false" ht="15" hidden="false" customHeight="true" outlineLevel="0" collapsed="false">
      <c r="B3" s="3" t="s">
        <v>230</v>
      </c>
    </row>
    <row r="4" customFormat="false" ht="15" hidden="false" customHeight="true" outlineLevel="0" collapsed="false"/>
    <row r="5" customFormat="false" ht="21.75" hidden="false" customHeight="true" outlineLevel="0" collapsed="false">
      <c r="B5" s="13" t="s">
        <v>138</v>
      </c>
      <c r="C5" s="14" t="s">
        <v>110</v>
      </c>
      <c r="D5" s="14" t="s">
        <v>113</v>
      </c>
      <c r="E5" s="14" t="s">
        <v>116</v>
      </c>
      <c r="F5" s="14" t="s">
        <v>118</v>
      </c>
      <c r="G5" s="14" t="s">
        <v>120</v>
      </c>
      <c r="H5" s="14" t="s">
        <v>231</v>
      </c>
    </row>
    <row r="6" customFormat="false" ht="15" hidden="false" customHeight="true" outlineLevel="0" collapsed="false">
      <c r="B6" s="5" t="s">
        <v>34</v>
      </c>
      <c r="C6" s="35" t="n">
        <f aca="false">IF(01_Annahmen!P30=1,01_Annahmen!Q30*(1-01_Annahmen!R30),01_Annahmen!N30)</f>
        <v>34183188</v>
      </c>
      <c r="D6" s="35" t="n">
        <f aca="false">IF(01_Annahmen!P31=1,01_Annahmen!Q31*(1-01_Annahmen!R31),01_Annahmen!N31)</f>
        <v>35840662.8791547</v>
      </c>
      <c r="E6" s="35" t="n">
        <f aca="false">IF(01_Annahmen!P32=1,01_Annahmen!Q32*(1-01_Annahmen!R32),01_Annahmen!N32)</f>
        <v>37050837.0731707</v>
      </c>
      <c r="F6" s="35" t="n">
        <f aca="false">IF(01_Annahmen!P33=1,01_Annahmen!Q33*(1-01_Annahmen!R33),01_Annahmen!N33)</f>
        <v>77000000</v>
      </c>
      <c r="G6" s="35" t="n">
        <f aca="false">SUM(C6:F6)</f>
        <v>184074687.952326</v>
      </c>
      <c r="H6" s="16" t="s">
        <v>232</v>
      </c>
    </row>
    <row r="7" customFormat="false" ht="15" hidden="false" customHeight="true" outlineLevel="0" collapsed="false">
      <c r="B7" s="7" t="s">
        <v>233</v>
      </c>
      <c r="C7" s="30" t="n">
        <f aca="false">-01_Annahmen!E30</f>
        <v>-22700000</v>
      </c>
      <c r="D7" s="30" t="n">
        <f aca="false">-01_Annahmen!E31</f>
        <v>-23842123</v>
      </c>
      <c r="E7" s="30" t="n">
        <f aca="false">-01_Annahmen!E32</f>
        <v>-27263728</v>
      </c>
      <c r="F7" s="30" t="n">
        <f aca="false">-01_Annahmen!E33</f>
        <v>-38582833</v>
      </c>
      <c r="G7" s="35" t="n">
        <f aca="false">SUM(C7:F7)</f>
        <v>-112388684</v>
      </c>
      <c r="H7" s="16" t="s">
        <v>234</v>
      </c>
    </row>
    <row r="8" customFormat="false" ht="15" hidden="false" customHeight="true" outlineLevel="0" collapsed="false">
      <c r="B8" s="7" t="s">
        <v>235</v>
      </c>
      <c r="C8" s="30" t="n">
        <f aca="false">-01_Annahmen!G30</f>
        <v>-0</v>
      </c>
      <c r="D8" s="30" t="n">
        <f aca="false">-01_Annahmen!G31</f>
        <v>-0</v>
      </c>
      <c r="E8" s="30" t="n">
        <f aca="false">-01_Annahmen!G32</f>
        <v>-0</v>
      </c>
      <c r="F8" s="30" t="n">
        <f aca="false">-01_Annahmen!G33</f>
        <v>-7000000</v>
      </c>
      <c r="G8" s="35" t="n">
        <f aca="false">SUM(C8:F8)</f>
        <v>-7000000</v>
      </c>
      <c r="H8" s="16" t="s">
        <v>236</v>
      </c>
    </row>
    <row r="9" customFormat="false" ht="15" hidden="false" customHeight="true" outlineLevel="0" collapsed="false">
      <c r="B9" s="7" t="s">
        <v>83</v>
      </c>
      <c r="G9" s="30" t="n">
        <f aca="false">-01_Annahmen!C26</f>
        <v>-1500000</v>
      </c>
      <c r="H9" s="16" t="s">
        <v>237</v>
      </c>
    </row>
    <row r="10" customFormat="false" ht="15" hidden="false" customHeight="true" outlineLevel="0" collapsed="false">
      <c r="B10" s="7" t="s">
        <v>238</v>
      </c>
      <c r="G10" s="30" t="n">
        <f aca="false">-'04_DCF und Finanzierung'!$C$76</f>
        <v>-4870806.43845348</v>
      </c>
      <c r="H10" s="16" t="s">
        <v>239</v>
      </c>
    </row>
    <row r="11" customFormat="false" ht="15" hidden="false" customHeight="true" outlineLevel="0" collapsed="false">
      <c r="B11" s="32" t="s">
        <v>240</v>
      </c>
      <c r="C11" s="32"/>
      <c r="D11" s="32"/>
      <c r="E11" s="32"/>
      <c r="F11" s="32"/>
      <c r="G11" s="33" t="n">
        <f aca="false">SUM(G6:G10)</f>
        <v>58315197.513872</v>
      </c>
      <c r="H11" s="32"/>
    </row>
    <row r="12" customFormat="false" ht="15" hidden="false" customHeight="true" outlineLevel="0" collapsed="false">
      <c r="B12" s="7" t="s">
        <v>17</v>
      </c>
      <c r="G12" s="8" t="n">
        <f aca="false">-01_Annahmen!C25</f>
        <v>-46101459</v>
      </c>
      <c r="H12" s="16" t="s">
        <v>241</v>
      </c>
    </row>
    <row r="13" customFormat="false" ht="15" hidden="false" customHeight="true" outlineLevel="0" collapsed="false">
      <c r="B13" s="32" t="s">
        <v>35</v>
      </c>
      <c r="C13" s="32"/>
      <c r="D13" s="32"/>
      <c r="E13" s="32"/>
      <c r="F13" s="32"/>
      <c r="G13" s="33" t="n">
        <f aca="false">G11+G12</f>
        <v>12213738.513872</v>
      </c>
      <c r="H13" s="32"/>
    </row>
    <row r="14" customFormat="false" ht="15" hidden="false" customHeight="true" outlineLevel="0" collapsed="false">
      <c r="B14" s="7" t="s">
        <v>36</v>
      </c>
      <c r="G14" s="23" t="n">
        <f aca="false">G13/(-SUM(G7:G10)-G12)</f>
        <v>0.071067561035708</v>
      </c>
    </row>
    <row r="15" customFormat="false" ht="15" hidden="false" customHeight="true" outlineLevel="0" collapsed="false">
      <c r="B15" s="7" t="s">
        <v>242</v>
      </c>
      <c r="G15" s="23" t="n">
        <f aca="false">G13/G6</f>
        <v>0.066352080504601</v>
      </c>
    </row>
    <row r="16" customFormat="false" ht="15" hidden="false" customHeight="true" outlineLevel="0" collapsed="false"/>
    <row r="17" customFormat="false" ht="15" hidden="false" customHeight="true" outlineLevel="0" collapsed="false">
      <c r="B17" s="3" t="s">
        <v>243</v>
      </c>
    </row>
    <row r="18" customFormat="false" ht="15" hidden="false" customHeight="true" outlineLevel="0" collapsed="false"/>
    <row r="19" customFormat="false" ht="15" hidden="false" customHeight="true" outlineLevel="0" collapsed="false">
      <c r="B19" s="4" t="s">
        <v>244</v>
      </c>
    </row>
    <row r="20" customFormat="false" ht="19.5" hidden="false" customHeight="true" outlineLevel="0" collapsed="false">
      <c r="B20" s="13" t="s">
        <v>245</v>
      </c>
      <c r="C20" s="14"/>
      <c r="D20" s="14"/>
      <c r="E20" s="14"/>
      <c r="F20" s="14"/>
      <c r="G20" s="14" t="s">
        <v>246</v>
      </c>
      <c r="H20" s="14" t="s">
        <v>247</v>
      </c>
    </row>
    <row r="21" customFormat="false" ht="15.75" hidden="false" customHeight="true" outlineLevel="0" collapsed="false">
      <c r="B21" s="7" t="s">
        <v>248</v>
      </c>
      <c r="G21" s="42" t="n">
        <v>63.39</v>
      </c>
      <c r="H21" s="16" t="s">
        <v>249</v>
      </c>
    </row>
    <row r="22" customFormat="false" ht="15.75" hidden="false" customHeight="true" outlineLevel="0" collapsed="false">
      <c r="B22" s="7" t="s">
        <v>250</v>
      </c>
      <c r="G22" s="42" t="n">
        <v>46.1</v>
      </c>
      <c r="H22" s="16" t="s">
        <v>249</v>
      </c>
    </row>
    <row r="23" customFormat="false" ht="15.75" hidden="false" customHeight="true" outlineLevel="0" collapsed="false">
      <c r="B23" s="32" t="s">
        <v>251</v>
      </c>
      <c r="C23" s="32"/>
      <c r="D23" s="32"/>
      <c r="E23" s="32"/>
      <c r="F23" s="32"/>
      <c r="G23" s="43" t="n">
        <f aca="false">MIN(G21:G22)</f>
        <v>46.1</v>
      </c>
      <c r="H23" s="32"/>
    </row>
    <row r="24" customFormat="false" ht="15.75" hidden="false" customHeight="true" outlineLevel="0" collapsed="false"/>
    <row r="25" customFormat="false" ht="15.75" hidden="false" customHeight="true" outlineLevel="0" collapsed="false"/>
    <row r="26" customFormat="false" ht="15.75" hidden="false" customHeight="true" outlineLevel="0" collapsed="false"/>
    <row r="27" customFormat="false" ht="15.75" hidden="false" customHeight="true" outlineLevel="0" collapsed="false"/>
    <row r="28" customFormat="false" ht="15.75" hidden="false" customHeight="true" outlineLevel="0" collapsed="false"/>
    <row r="29" customFormat="false" ht="15.75" hidden="false" customHeight="true" outlineLevel="0" collapsed="false"/>
    <row r="30" customFormat="false" ht="15.75" hidden="false" customHeight="true" outlineLevel="0" collapsed="false"/>
    <row r="31" customFormat="false" ht="15.75" hidden="false" customHeight="true" outlineLevel="0" collapsed="false"/>
    <row r="32" customFormat="false" ht="15.75" hidden="false" customHeight="true" outlineLevel="0" collapsed="false"/>
    <row r="33" customFormat="false" ht="15.75" hidden="false" customHeight="true" outlineLevel="0" collapsed="false"/>
    <row r="34" customFormat="false" ht="15.75" hidden="false" customHeight="true" outlineLevel="0" collapsed="false"/>
    <row r="35" customFormat="false" ht="15.75" hidden="false" customHeight="true" outlineLevel="0" collapsed="false"/>
    <row r="36" customFormat="false" ht="15.75" hidden="false" customHeight="true" outlineLevel="0" collapsed="false"/>
    <row r="37" customFormat="false" ht="15.75" hidden="false" customHeight="true" outlineLevel="0" collapsed="false"/>
    <row r="38" customFormat="false" ht="15.75" hidden="false" customHeight="true" outlineLevel="0" collapsed="false"/>
    <row r="39" customFormat="false" ht="15.75" hidden="false" customHeight="true" outlineLevel="0" collapsed="false"/>
    <row r="40" customFormat="false" ht="15.75" hidden="false" customHeight="true" outlineLevel="0" collapsed="false"/>
    <row r="41" customFormat="false" ht="15.75" hidden="false" customHeight="true" outlineLevel="0" collapsed="false"/>
    <row r="42" customFormat="false" ht="15.75" hidden="false" customHeight="true" outlineLevel="0" collapsed="false"/>
    <row r="43" customFormat="false" ht="15.75" hidden="false" customHeight="true" outlineLevel="0" collapsed="false"/>
    <row r="44" customFormat="false" ht="15.75" hidden="false" customHeight="true" outlineLevel="0" collapsed="false"/>
    <row r="45" customFormat="false" ht="15.75" hidden="false" customHeight="true" outlineLevel="0" collapsed="false"/>
    <row r="46" customFormat="false" ht="15.75" hidden="false" customHeight="true" outlineLevel="0" collapsed="false"/>
    <row r="47" customFormat="false" ht="15.75" hidden="false" customHeight="true" outlineLevel="0" collapsed="false"/>
    <row r="48" customFormat="false" ht="15.75" hidden="false" customHeight="true" outlineLevel="0" collapsed="false"/>
    <row r="49" customFormat="false" ht="15.75" hidden="false" customHeight="true" outlineLevel="0" collapsed="false"/>
    <row r="50" customFormat="false" ht="15.75" hidden="false" customHeight="true" outlineLevel="0" collapsed="false"/>
    <row r="51" customFormat="false" ht="15.75" hidden="false" customHeight="true" outlineLevel="0" collapsed="false"/>
    <row r="52" customFormat="false" ht="15.75" hidden="false" customHeight="true" outlineLevel="0" collapsed="false"/>
    <row r="53" customFormat="false" ht="15.75" hidden="false" customHeight="true" outlineLevel="0" collapsed="false"/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F100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33593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34"/>
    <col collapsed="false" customWidth="true" hidden="false" outlineLevel="0" max="6" min="3" style="1" width="18"/>
    <col collapsed="false" customWidth="true" hidden="false" outlineLevel="0" max="26" min="7" style="1" width="8.71"/>
  </cols>
  <sheetData>
    <row r="1" customFormat="false" ht="15" hidden="false" customHeight="true" outlineLevel="0" collapsed="false"/>
    <row r="2" customFormat="false" ht="18" hidden="false" customHeight="true" outlineLevel="0" collapsed="false">
      <c r="B2" s="2" t="s">
        <v>252</v>
      </c>
    </row>
    <row r="3" customFormat="false" ht="15" hidden="false" customHeight="true" outlineLevel="0" collapsed="false">
      <c r="B3" s="3" t="s">
        <v>253</v>
      </c>
    </row>
    <row r="4" customFormat="false" ht="15" hidden="false" customHeight="true" outlineLevel="0" collapsed="false"/>
    <row r="5" customFormat="false" ht="30" hidden="false" customHeight="true" outlineLevel="0" collapsed="false">
      <c r="B5" s="13" t="s">
        <v>254</v>
      </c>
      <c r="C5" s="14" t="s">
        <v>255</v>
      </c>
      <c r="D5" s="14" t="s">
        <v>256</v>
      </c>
      <c r="E5" s="14" t="s">
        <v>226</v>
      </c>
      <c r="F5" s="14" t="s">
        <v>257</v>
      </c>
    </row>
    <row r="6" customFormat="false" ht="15" hidden="false" customHeight="true" outlineLevel="0" collapsed="false">
      <c r="B6" s="5" t="s">
        <v>258</v>
      </c>
      <c r="C6" s="30" t="n">
        <f aca="false">'04_DCF und Finanzierung'!$D$17*(1-0)</f>
        <v>111183188</v>
      </c>
      <c r="D6" s="30" t="n">
        <f aca="false">'04_DCF und Finanzierung'!$L$45+0*'04_DCF und Finanzierung'!$D$17</f>
        <v>7624661.66048224</v>
      </c>
      <c r="E6" s="23" t="n">
        <f aca="false">D6/'04_DCF und Finanzierung'!$L$46</f>
        <v>0.104602891495841</v>
      </c>
      <c r="F6" s="40" t="n">
        <f aca="false">IF(D6=0,0,'04_DCF und Finanzierung'!$M$12/(D6*(01_Annahmen!$C$20+01_Annahmen!$C$22)))</f>
        <v>14.7505483842015</v>
      </c>
    </row>
    <row r="7" customFormat="false" ht="15" hidden="false" customHeight="true" outlineLevel="0" collapsed="false">
      <c r="B7" s="7" t="s">
        <v>259</v>
      </c>
      <c r="C7" s="30" t="n">
        <f aca="false">'04_DCF und Finanzierung'!$D$17*(1-0.1)</f>
        <v>100064869.2</v>
      </c>
      <c r="D7" s="30" t="n">
        <f aca="false">'04_DCF und Finanzierung'!$L$45+0.1*'04_DCF und Finanzierung'!$D$17</f>
        <v>18742980.4604822</v>
      </c>
      <c r="E7" s="23" t="n">
        <f aca="false">D7/'04_DCF und Finanzierung'!$L$46</f>
        <v>0.257135337765597</v>
      </c>
      <c r="F7" s="40" t="n">
        <f aca="false">IF(D7=0,0,'04_DCF und Finanzierung'!$M$12/(D7*(01_Annahmen!$C$20+01_Annahmen!$C$22)))</f>
        <v>6.00053662613784</v>
      </c>
    </row>
    <row r="8" customFormat="false" ht="15" hidden="false" customHeight="true" outlineLevel="0" collapsed="false">
      <c r="B8" s="7" t="s">
        <v>260</v>
      </c>
      <c r="C8" s="30" t="n">
        <f aca="false">'04_DCF und Finanzierung'!$D$17*(1-0.2)</f>
        <v>88946550.4</v>
      </c>
      <c r="D8" s="30" t="n">
        <f aca="false">'04_DCF und Finanzierung'!$L$45+0.2*'04_DCF und Finanzierung'!$D$17</f>
        <v>29861299.2604822</v>
      </c>
      <c r="E8" s="23" t="n">
        <f aca="false">D8/'04_DCF und Finanzierung'!$L$46</f>
        <v>0.409667784035353</v>
      </c>
      <c r="F8" s="40" t="n">
        <f aca="false">IF(D8=0,0,'04_DCF und Finanzierung'!$M$12/(D8*(01_Annahmen!$C$20+01_Annahmen!$C$22)))</f>
        <v>3.76634451686257</v>
      </c>
    </row>
    <row r="9" customFormat="false" ht="15" hidden="false" customHeight="true" outlineLevel="0" collapsed="false">
      <c r="B9" s="7" t="s">
        <v>261</v>
      </c>
      <c r="C9" s="30" t="n">
        <f aca="false">'04_DCF und Finanzierung'!$D$17*(1-0.3)</f>
        <v>77828231.6</v>
      </c>
      <c r="D9" s="30" t="n">
        <f aca="false">'04_DCF und Finanzierung'!$L$45+0.3*'04_DCF und Finanzierung'!$D$17</f>
        <v>40979618.0604822</v>
      </c>
      <c r="E9" s="23" t="n">
        <f aca="false">D9/'04_DCF und Finanzierung'!$L$46</f>
        <v>0.562200230305109</v>
      </c>
      <c r="F9" s="40" t="n">
        <f aca="false">IF(D9=0,0,'04_DCF und Finanzierung'!$M$12/(D9*(01_Annahmen!$C$20+01_Annahmen!$C$22)))</f>
        <v>2.74448484537159</v>
      </c>
    </row>
    <row r="10" customFormat="false" ht="15" hidden="false" customHeight="true" outlineLevel="0" collapsed="false">
      <c r="B10" s="3" t="s">
        <v>262</v>
      </c>
    </row>
    <row r="11" customFormat="false" ht="15" hidden="false" customHeight="true" outlineLevel="0" collapsed="false"/>
    <row r="12" customFormat="false" ht="21.75" hidden="false" customHeight="true" outlineLevel="0" collapsed="false">
      <c r="B12" s="13" t="s">
        <v>263</v>
      </c>
      <c r="C12" s="14" t="s">
        <v>264</v>
      </c>
      <c r="D12" s="14" t="s">
        <v>265</v>
      </c>
      <c r="E12" s="14" t="s">
        <v>266</v>
      </c>
      <c r="F12" s="14"/>
    </row>
    <row r="13" customFormat="false" ht="15" hidden="false" customHeight="true" outlineLevel="0" collapsed="false">
      <c r="B13" s="5" t="s">
        <v>258</v>
      </c>
      <c r="C13" s="30" t="n">
        <f aca="false">03_Investitionen!$D$19+0*01_Annahmen!$E$34</f>
        <v>166990143</v>
      </c>
      <c r="D13" s="30" t="n">
        <f aca="false">01_Annahmen!$C$18*C13</f>
        <v>116893100.1</v>
      </c>
      <c r="E13" s="30" t="n">
        <f aca="false">'04_DCF und Finanzierung'!$D$44+0*01_Annahmen!$E$34*01_Annahmen!$C$18</f>
        <v>64960261.9449316</v>
      </c>
    </row>
    <row r="14" customFormat="false" ht="15" hidden="false" customHeight="true" outlineLevel="0" collapsed="false">
      <c r="B14" s="7" t="s">
        <v>267</v>
      </c>
      <c r="C14" s="30" t="n">
        <f aca="false">03_Investitionen!$D$19+0.05*01_Annahmen!$E$34</f>
        <v>172609577.2</v>
      </c>
      <c r="D14" s="30" t="n">
        <f aca="false">01_Annahmen!$C$18*C14</f>
        <v>120826704.04</v>
      </c>
      <c r="E14" s="30" t="n">
        <f aca="false">'04_DCF und Finanzierung'!$D$44+0.05*01_Annahmen!$E$34*01_Annahmen!$C$18</f>
        <v>68893865.8849316</v>
      </c>
    </row>
    <row r="15" customFormat="false" ht="15" hidden="false" customHeight="true" outlineLevel="0" collapsed="false">
      <c r="B15" s="7" t="s">
        <v>268</v>
      </c>
      <c r="C15" s="30" t="n">
        <f aca="false">03_Investitionen!$D$19+0.1*01_Annahmen!$E$34</f>
        <v>178229011.4</v>
      </c>
      <c r="D15" s="30" t="n">
        <f aca="false">01_Annahmen!$C$18*C15</f>
        <v>124760307.98</v>
      </c>
      <c r="E15" s="30" t="n">
        <f aca="false">'04_DCF und Finanzierung'!$D$44+0.1*01_Annahmen!$E$34*01_Annahmen!$C$18</f>
        <v>72827469.8249316</v>
      </c>
    </row>
    <row r="16" customFormat="false" ht="15" hidden="false" customHeight="true" outlineLevel="0" collapsed="false">
      <c r="B16" s="3" t="s">
        <v>269</v>
      </c>
    </row>
    <row r="17" customFormat="false" ht="15" hidden="false" customHeight="true" outlineLevel="0" collapsed="false"/>
    <row r="18" customFormat="false" ht="21.75" hidden="false" customHeight="true" outlineLevel="0" collapsed="false">
      <c r="B18" s="13" t="s">
        <v>69</v>
      </c>
      <c r="C18" s="14" t="s">
        <v>270</v>
      </c>
      <c r="D18" s="14" t="s">
        <v>257</v>
      </c>
      <c r="E18" s="14"/>
      <c r="F18" s="14"/>
    </row>
    <row r="19" customFormat="false" ht="15" hidden="false" customHeight="true" outlineLevel="0" collapsed="false">
      <c r="B19" s="5" t="s">
        <v>271</v>
      </c>
      <c r="C19" s="30" t="n">
        <f aca="false">'04_DCF und Finanzierung'!$C$76*0.0225/01_Annahmen!$C$20</f>
        <v>4870806.43845348</v>
      </c>
      <c r="D19" s="40" t="n">
        <f aca="false">IF('04_DCF und Finanzierung'!$L$45=0,0,'04_DCF und Finanzierung'!$M$12/('04_DCF und Finanzierung'!$L$45*(0.0225+01_Annahmen!$C$22)))</f>
        <v>14.7505483842015</v>
      </c>
    </row>
    <row r="20" customFormat="false" ht="15" hidden="false" customHeight="true" outlineLevel="0" collapsed="false">
      <c r="B20" s="7" t="s">
        <v>272</v>
      </c>
      <c r="C20" s="30" t="n">
        <f aca="false">'04_DCF und Finanzierung'!$C$76*0.03/01_Annahmen!$C$20</f>
        <v>6494408.58460464</v>
      </c>
      <c r="D20" s="40" t="n">
        <f aca="false">IF('04_DCF und Finanzierung'!$L$45=0,0,'04_DCF und Finanzierung'!$M$12/('04_DCF und Finanzierung'!$L$45*(0.03+01_Annahmen!$C$22)))</f>
        <v>11.9848205621637</v>
      </c>
    </row>
    <row r="21" customFormat="false" ht="15.75" hidden="false" customHeight="true" outlineLevel="0" collapsed="false">
      <c r="B21" s="7" t="s">
        <v>273</v>
      </c>
      <c r="C21" s="30" t="n">
        <f aca="false">'04_DCF und Finanzierung'!$C$76*0.04/01_Annahmen!$C$20</f>
        <v>8659211.44613952</v>
      </c>
      <c r="D21" s="40" t="n">
        <f aca="false">IF('04_DCF und Finanzierung'!$L$45=0,0,'04_DCF und Finanzierung'!$M$12/('04_DCF und Finanzierung'!$L$45*(0.04+01_Annahmen!$C$22)))</f>
        <v>9.58785644973098</v>
      </c>
    </row>
    <row r="22" customFormat="false" ht="15.75" hidden="false" customHeight="true" outlineLevel="0" collapsed="false"/>
    <row r="23" customFormat="false" ht="15.75" hidden="false" customHeight="true" outlineLevel="0" collapsed="false"/>
    <row r="24" customFormat="false" ht="15.75" hidden="false" customHeight="true" outlineLevel="0" collapsed="false"/>
    <row r="25" customFormat="false" ht="15.75" hidden="false" customHeight="true" outlineLevel="0" collapsed="false"/>
    <row r="26" customFormat="false" ht="15.75" hidden="false" customHeight="true" outlineLevel="0" collapsed="false"/>
    <row r="27" customFormat="false" ht="15.75" hidden="false" customHeight="true" outlineLevel="0" collapsed="false"/>
    <row r="28" customFormat="false" ht="15.75" hidden="false" customHeight="true" outlineLevel="0" collapsed="false"/>
    <row r="29" customFormat="false" ht="15.75" hidden="false" customHeight="true" outlineLevel="0" collapsed="false"/>
    <row r="30" customFormat="false" ht="15.75" hidden="false" customHeight="true" outlineLevel="0" collapsed="false"/>
    <row r="31" customFormat="false" ht="15.75" hidden="false" customHeight="true" outlineLevel="0" collapsed="false"/>
    <row r="32" customFormat="false" ht="15.75" hidden="false" customHeight="true" outlineLevel="0" collapsed="false"/>
    <row r="33" customFormat="false" ht="15.75" hidden="false" customHeight="true" outlineLevel="0" collapsed="false"/>
    <row r="34" customFormat="false" ht="15.75" hidden="false" customHeight="true" outlineLevel="0" collapsed="false"/>
    <row r="35" customFormat="false" ht="15.75" hidden="false" customHeight="true" outlineLevel="0" collapsed="false"/>
    <row r="36" customFormat="false" ht="15.75" hidden="false" customHeight="true" outlineLevel="0" collapsed="false"/>
    <row r="37" customFormat="false" ht="15.75" hidden="false" customHeight="true" outlineLevel="0" collapsed="false"/>
    <row r="38" customFormat="false" ht="15.75" hidden="false" customHeight="true" outlineLevel="0" collapsed="false"/>
    <row r="39" customFormat="false" ht="15.75" hidden="false" customHeight="true" outlineLevel="0" collapsed="false"/>
    <row r="40" customFormat="false" ht="15.75" hidden="false" customHeight="true" outlineLevel="0" collapsed="false"/>
    <row r="41" customFormat="false" ht="15.75" hidden="false" customHeight="true" outlineLevel="0" collapsed="false"/>
    <row r="42" customFormat="false" ht="15.75" hidden="false" customHeight="true" outlineLevel="0" collapsed="false"/>
    <row r="43" customFormat="false" ht="15.75" hidden="false" customHeight="true" outlineLevel="0" collapsed="false"/>
    <row r="44" customFormat="false" ht="15.75" hidden="false" customHeight="true" outlineLevel="0" collapsed="false"/>
    <row r="45" customFormat="false" ht="15.75" hidden="false" customHeight="true" outlineLevel="0" collapsed="false"/>
    <row r="46" customFormat="false" ht="15.75" hidden="false" customHeight="true" outlineLevel="0" collapsed="false"/>
    <row r="47" customFormat="false" ht="15.75" hidden="false" customHeight="true" outlineLevel="0" collapsed="false"/>
    <row r="48" customFormat="false" ht="15.75" hidden="false" customHeight="true" outlineLevel="0" collapsed="false"/>
    <row r="49" customFormat="false" ht="15.75" hidden="false" customHeight="true" outlineLevel="0" collapsed="false"/>
    <row r="50" customFormat="false" ht="15.75" hidden="false" customHeight="true" outlineLevel="0" collapsed="false"/>
    <row r="51" customFormat="false" ht="15.75" hidden="false" customHeight="true" outlineLevel="0" collapsed="false"/>
    <row r="52" customFormat="false" ht="15.75" hidden="false" customHeight="true" outlineLevel="0" collapsed="false"/>
    <row r="53" customFormat="false" ht="15.75" hidden="false" customHeight="true" outlineLevel="0" collapsed="false"/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C100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33593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22"/>
    <col collapsed="false" customWidth="true" hidden="false" outlineLevel="0" max="3" min="3" style="1" width="120"/>
    <col collapsed="false" customWidth="true" hidden="false" outlineLevel="0" max="26" min="4" style="1" width="8.71"/>
  </cols>
  <sheetData>
    <row r="1" customFormat="false" ht="15" hidden="false" customHeight="true" outlineLevel="0" collapsed="false"/>
    <row r="2" customFormat="false" ht="18" hidden="false" customHeight="true" outlineLevel="0" collapsed="false">
      <c r="B2" s="2" t="s">
        <v>274</v>
      </c>
    </row>
    <row r="3" customFormat="false" ht="15" hidden="false" customHeight="true" outlineLevel="0" collapsed="false">
      <c r="B3" s="3" t="s">
        <v>275</v>
      </c>
    </row>
    <row r="4" customFormat="false" ht="15" hidden="false" customHeight="true" outlineLevel="0" collapsed="false"/>
    <row r="5" customFormat="false" ht="19.5" hidden="false" customHeight="true" outlineLevel="0" collapsed="false">
      <c r="B5" s="13" t="s">
        <v>276</v>
      </c>
      <c r="C5" s="14" t="s">
        <v>277</v>
      </c>
    </row>
    <row r="6" customFormat="false" ht="45.75" hidden="false" customHeight="true" outlineLevel="0" collapsed="false">
      <c r="B6" s="5" t="s">
        <v>109</v>
      </c>
      <c r="C6" s="44" t="s">
        <v>278</v>
      </c>
    </row>
    <row r="7" customFormat="false" ht="45.75" hidden="false" customHeight="true" outlineLevel="0" collapsed="false">
      <c r="B7" s="5" t="s">
        <v>279</v>
      </c>
      <c r="C7" s="44" t="s">
        <v>280</v>
      </c>
    </row>
    <row r="8" customFormat="false" ht="45.75" hidden="false" customHeight="true" outlineLevel="0" collapsed="false">
      <c r="B8" s="5" t="s">
        <v>281</v>
      </c>
      <c r="C8" s="44" t="s">
        <v>282</v>
      </c>
    </row>
    <row r="9" customFormat="false" ht="45.75" hidden="false" customHeight="true" outlineLevel="0" collapsed="false">
      <c r="B9" s="5" t="s">
        <v>283</v>
      </c>
      <c r="C9" s="44" t="s">
        <v>284</v>
      </c>
    </row>
    <row r="10" customFormat="false" ht="45.75" hidden="false" customHeight="true" outlineLevel="0" collapsed="false">
      <c r="B10" s="5" t="s">
        <v>285</v>
      </c>
      <c r="C10" s="44" t="s">
        <v>286</v>
      </c>
    </row>
    <row r="11" customFormat="false" ht="45.75" hidden="false" customHeight="true" outlineLevel="0" collapsed="false">
      <c r="B11" s="5" t="s">
        <v>287</v>
      </c>
      <c r="C11" s="44" t="s">
        <v>288</v>
      </c>
    </row>
    <row r="12" customFormat="false" ht="45.75" hidden="false" customHeight="true" outlineLevel="0" collapsed="false">
      <c r="B12" s="5" t="s">
        <v>289</v>
      </c>
      <c r="C12" s="44" t="s">
        <v>290</v>
      </c>
    </row>
    <row r="13" customFormat="false" ht="45.75" hidden="false" customHeight="true" outlineLevel="0" collapsed="false">
      <c r="B13" s="5" t="s">
        <v>291</v>
      </c>
      <c r="C13" s="44" t="s">
        <v>292</v>
      </c>
    </row>
    <row r="14" customFormat="false" ht="45.75" hidden="false" customHeight="true" outlineLevel="0" collapsed="false">
      <c r="B14" s="5" t="s">
        <v>293</v>
      </c>
      <c r="C14" s="44" t="s">
        <v>294</v>
      </c>
    </row>
    <row r="15" customFormat="false" ht="45.75" hidden="false" customHeight="true" outlineLevel="0" collapsed="false">
      <c r="B15" s="5" t="s">
        <v>295</v>
      </c>
      <c r="C15" s="44" t="s">
        <v>296</v>
      </c>
    </row>
    <row r="21" customFormat="false" ht="15.75" hidden="false" customHeight="true" outlineLevel="0" collapsed="false"/>
    <row r="22" customFormat="false" ht="15.75" hidden="false" customHeight="true" outlineLevel="0" collapsed="false"/>
    <row r="23" customFormat="false" ht="15.75" hidden="false" customHeight="true" outlineLevel="0" collapsed="false"/>
    <row r="24" customFormat="false" ht="15.75" hidden="false" customHeight="true" outlineLevel="0" collapsed="false"/>
    <row r="25" customFormat="false" ht="15.75" hidden="false" customHeight="true" outlineLevel="0" collapsed="false"/>
    <row r="26" customFormat="false" ht="15.75" hidden="false" customHeight="true" outlineLevel="0" collapsed="false"/>
    <row r="27" customFormat="false" ht="15.75" hidden="false" customHeight="true" outlineLevel="0" collapsed="false"/>
    <row r="28" customFormat="false" ht="15.75" hidden="false" customHeight="true" outlineLevel="0" collapsed="false"/>
    <row r="29" customFormat="false" ht="15.75" hidden="false" customHeight="true" outlineLevel="0" collapsed="false"/>
    <row r="30" customFormat="false" ht="15.75" hidden="false" customHeight="true" outlineLevel="0" collapsed="false"/>
    <row r="31" customFormat="false" ht="15.75" hidden="false" customHeight="true" outlineLevel="0" collapsed="false"/>
    <row r="32" customFormat="false" ht="15.75" hidden="false" customHeight="true" outlineLevel="0" collapsed="false"/>
    <row r="33" customFormat="false" ht="15.75" hidden="false" customHeight="true" outlineLevel="0" collapsed="false"/>
    <row r="34" customFormat="false" ht="15.75" hidden="false" customHeight="true" outlineLevel="0" collapsed="false"/>
    <row r="35" customFormat="false" ht="15.75" hidden="false" customHeight="true" outlineLevel="0" collapsed="false"/>
    <row r="36" customFormat="false" ht="15.75" hidden="false" customHeight="true" outlineLevel="0" collapsed="false"/>
    <row r="37" customFormat="false" ht="15.75" hidden="false" customHeight="true" outlineLevel="0" collapsed="false"/>
    <row r="38" customFormat="false" ht="15.75" hidden="false" customHeight="true" outlineLevel="0" collapsed="false"/>
    <row r="39" customFormat="false" ht="15.75" hidden="false" customHeight="true" outlineLevel="0" collapsed="false"/>
    <row r="40" customFormat="false" ht="15.75" hidden="false" customHeight="true" outlineLevel="0" collapsed="false"/>
    <row r="41" customFormat="false" ht="15.75" hidden="false" customHeight="true" outlineLevel="0" collapsed="false"/>
    <row r="42" customFormat="false" ht="15.75" hidden="false" customHeight="true" outlineLevel="0" collapsed="false"/>
    <row r="43" customFormat="false" ht="15.75" hidden="false" customHeight="true" outlineLevel="0" collapsed="false"/>
    <row r="44" customFormat="false" ht="15.75" hidden="false" customHeight="true" outlineLevel="0" collapsed="false"/>
    <row r="45" customFormat="false" ht="15.75" hidden="false" customHeight="true" outlineLevel="0" collapsed="false"/>
    <row r="46" customFormat="false" ht="15.75" hidden="false" customHeight="true" outlineLevel="0" collapsed="false"/>
    <row r="47" customFormat="false" ht="15.75" hidden="false" customHeight="true" outlineLevel="0" collapsed="false"/>
    <row r="48" customFormat="false" ht="15.75" hidden="false" customHeight="true" outlineLevel="0" collapsed="false"/>
    <row r="49" customFormat="false" ht="15.75" hidden="false" customHeight="true" outlineLevel="0" collapsed="false"/>
    <row r="50" customFormat="false" ht="15.75" hidden="false" customHeight="true" outlineLevel="0" collapsed="false"/>
    <row r="51" customFormat="false" ht="15.75" hidden="false" customHeight="true" outlineLevel="0" collapsed="false"/>
    <row r="52" customFormat="false" ht="15.75" hidden="false" customHeight="true" outlineLevel="0" collapsed="false"/>
    <row r="53" customFormat="false" ht="15.75" hidden="false" customHeight="true" outlineLevel="0" collapsed="false"/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2026-09-30T08:01:10Z</dcterms:created>
  <dc:creator>openpyxl</dc:creator>
  <dc:description/>
  <dc:language>en-US</dc:language>
  <cp:lastModifiedBy/>
  <dcterms:modified xsi:type="dcterms:W3CDTF">2026-09-30T16:14:35Z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